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G:\Data\Research\Monpol\CB finances\"/>
    </mc:Choice>
  </mc:AlternateContent>
  <xr:revisionPtr revIDLastSave="0" documentId="13_ncr:1_{CD14739E-C048-4A4C-AFD9-D272CE79E84A}" xr6:coauthVersionLast="47" xr6:coauthVersionMax="47" xr10:uidLastSave="{00000000-0000-0000-0000-000000000000}"/>
  <bookViews>
    <workbookView xWindow="-96" yWindow="-96" windowWidth="23232" windowHeight="13152" activeTab="1" xr2:uid="{9FAB7260-20D7-499F-A64E-8F98CE2F644F}"/>
  </bookViews>
  <sheets>
    <sheet name="Main" sheetId="1" r:id="rId1"/>
    <sheet name="Charts" sheetId="7" r:id="rId2"/>
    <sheet name="SNB Income statemen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2" i="7" l="1"/>
  <c r="R11" i="7"/>
  <c r="Y2" i="7" s="1"/>
  <c r="X9" i="7"/>
  <c r="W9" i="7"/>
  <c r="R9" i="7"/>
  <c r="Y8" i="7" s="1"/>
  <c r="AB3" i="7" s="1"/>
  <c r="X8" i="7"/>
  <c r="W8" i="7"/>
  <c r="Z3" i="7" s="1"/>
  <c r="R8" i="7"/>
  <c r="Y3" i="7" s="1"/>
  <c r="Y7" i="7"/>
  <c r="AB2" i="7" s="1"/>
  <c r="X7" i="7"/>
  <c r="W7" i="7"/>
  <c r="R6" i="7"/>
  <c r="Y9" i="7" s="1"/>
  <c r="AB4" i="7" s="1"/>
  <c r="R5" i="7"/>
  <c r="AA4" i="7"/>
  <c r="Z4" i="7"/>
  <c r="Y4" i="7"/>
  <c r="X4" i="7"/>
  <c r="W4" i="7"/>
  <c r="V4" i="7"/>
  <c r="AA3" i="7"/>
  <c r="X3" i="7"/>
  <c r="W3" i="7"/>
  <c r="V3" i="7"/>
  <c r="AA2" i="7"/>
  <c r="Z2" i="7"/>
  <c r="X2" i="7"/>
  <c r="W2" i="7"/>
  <c r="V2" i="7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L24" i="1"/>
  <c r="K8" i="1"/>
  <c r="AO11" i="1"/>
  <c r="AO9" i="1"/>
  <c r="AO15" i="1" s="1"/>
  <c r="AR11" i="1"/>
  <c r="AR9" i="1"/>
  <c r="AR15" i="1" s="1"/>
  <c r="BB6" i="1"/>
  <c r="BB14" i="1" s="1"/>
  <c r="BC6" i="1"/>
  <c r="BG11" i="1"/>
  <c r="BF11" i="1"/>
  <c r="BE11" i="1"/>
  <c r="BG6" i="1"/>
  <c r="BG9" i="1" s="1"/>
  <c r="BG15" i="1" s="1"/>
  <c r="BE6" i="1"/>
  <c r="BE14" i="1" s="1"/>
  <c r="BD8" i="1"/>
  <c r="BC8" i="1"/>
  <c r="BB8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M14" i="1"/>
  <c r="AL14" i="1"/>
  <c r="AK14" i="1"/>
  <c r="AE14" i="1"/>
  <c r="AB14" i="1"/>
  <c r="AA14" i="1"/>
  <c r="Z14" i="1"/>
  <c r="Y14" i="1"/>
  <c r="X14" i="1"/>
  <c r="W14" i="1"/>
  <c r="V14" i="1"/>
  <c r="U14" i="1"/>
  <c r="S14" i="1"/>
  <c r="R14" i="1"/>
  <c r="P14" i="1"/>
  <c r="AX9" i="1"/>
  <c r="AX15" i="1" s="1"/>
  <c r="BA9" i="1"/>
  <c r="BA15" i="1" s="1"/>
  <c r="K24" i="1"/>
  <c r="L23" i="1"/>
  <c r="K23" i="1"/>
  <c r="M16" i="1"/>
  <c r="L16" i="1"/>
  <c r="K16" i="1"/>
  <c r="M13" i="1"/>
  <c r="L13" i="1"/>
  <c r="K13" i="1"/>
  <c r="L8" i="1"/>
  <c r="M7" i="1"/>
  <c r="L7" i="1"/>
  <c r="K7" i="1"/>
  <c r="K5" i="1"/>
  <c r="M4" i="1"/>
  <c r="L4" i="1"/>
  <c r="K4" i="1"/>
  <c r="N11" i="1"/>
  <c r="N6" i="1"/>
  <c r="N9" i="1" s="1"/>
  <c r="N15" i="1" s="1"/>
  <c r="O6" i="1"/>
  <c r="O9" i="1" s="1"/>
  <c r="O15" i="1" s="1"/>
  <c r="AU11" i="1"/>
  <c r="AU9" i="1"/>
  <c r="AU15" i="1" s="1"/>
  <c r="AK11" i="1"/>
  <c r="AK9" i="1"/>
  <c r="AK15" i="1" s="1"/>
  <c r="AJ11" i="1"/>
  <c r="AI11" i="1"/>
  <c r="AI6" i="1"/>
  <c r="AI9" i="1" s="1"/>
  <c r="AI15" i="1" s="1"/>
  <c r="AJ6" i="1"/>
  <c r="AJ9" i="1" s="1"/>
  <c r="AJ20" i="1" s="1"/>
  <c r="AL9" i="1"/>
  <c r="AL15" i="1" s="1"/>
  <c r="AL11" i="1"/>
  <c r="AF11" i="1"/>
  <c r="AF6" i="1"/>
  <c r="AF9" i="1" s="1"/>
  <c r="AF15" i="1" s="1"/>
  <c r="Z11" i="1"/>
  <c r="Z9" i="1"/>
  <c r="Z15" i="1" s="1"/>
  <c r="AC6" i="1"/>
  <c r="AC9" i="1" s="1"/>
  <c r="AC15" i="1" s="1"/>
  <c r="AD6" i="1"/>
  <c r="AD14" i="1" s="1"/>
  <c r="AC11" i="1"/>
  <c r="W11" i="1"/>
  <c r="W9" i="1"/>
  <c r="W15" i="1" s="1"/>
  <c r="Q6" i="1"/>
  <c r="Q9" i="1" s="1"/>
  <c r="Q15" i="1" s="1"/>
  <c r="T6" i="1"/>
  <c r="T9" i="1" s="1"/>
  <c r="T15" i="1" s="1"/>
  <c r="T11" i="1"/>
  <c r="Q11" i="1"/>
  <c r="O11" i="1"/>
  <c r="AN11" i="1"/>
  <c r="AM11" i="1"/>
  <c r="AM9" i="1"/>
  <c r="AM20" i="1" s="1"/>
  <c r="AT11" i="1"/>
  <c r="AS11" i="1"/>
  <c r="AT9" i="1"/>
  <c r="AT15" i="1" s="1"/>
  <c r="AS9" i="1"/>
  <c r="AS15" i="1" s="1"/>
  <c r="W20" i="1" l="1"/>
  <c r="AU20" i="1"/>
  <c r="O20" i="1"/>
  <c r="AF20" i="1"/>
  <c r="AO20" i="1"/>
  <c r="Q20" i="1"/>
  <c r="Z20" i="1"/>
  <c r="AX20" i="1"/>
  <c r="BG20" i="1"/>
  <c r="AI20" i="1"/>
  <c r="T20" i="1"/>
  <c r="AR20" i="1"/>
  <c r="AC20" i="1"/>
  <c r="AK20" i="1"/>
  <c r="AS20" i="1"/>
  <c r="AL20" i="1"/>
  <c r="AT20" i="1"/>
  <c r="N20" i="1"/>
  <c r="BB9" i="1"/>
  <c r="BE9" i="1"/>
  <c r="BC9" i="1"/>
  <c r="BC20" i="1" s="1"/>
  <c r="AI14" i="1"/>
  <c r="Q14" i="1"/>
  <c r="AJ14" i="1"/>
  <c r="T14" i="1"/>
  <c r="AC14" i="1"/>
  <c r="AF14" i="1"/>
  <c r="O14" i="1"/>
  <c r="N14" i="1"/>
  <c r="K6" i="1"/>
  <c r="K14" i="1" s="1"/>
  <c r="K11" i="1"/>
  <c r="K9" i="1"/>
  <c r="AJ15" i="1"/>
  <c r="AM15" i="1"/>
  <c r="AQ11" i="1"/>
  <c r="AP11" i="1"/>
  <c r="AQ9" i="1"/>
  <c r="AP9" i="1"/>
  <c r="AP20" i="1" s="1"/>
  <c r="AN6" i="1"/>
  <c r="BG14" i="1"/>
  <c r="BF6" i="1"/>
  <c r="BD6" i="1"/>
  <c r="BD13" i="1"/>
  <c r="BC13" i="1"/>
  <c r="AZ9" i="1"/>
  <c r="AY9" i="1"/>
  <c r="AY20" i="1" s="1"/>
  <c r="AW11" i="1"/>
  <c r="AV11" i="1"/>
  <c r="AW9" i="1"/>
  <c r="AV9" i="1"/>
  <c r="AE11" i="1"/>
  <c r="AD11" i="1"/>
  <c r="AD9" i="1"/>
  <c r="AD20" i="1" s="1"/>
  <c r="AE9" i="1"/>
  <c r="AH11" i="1"/>
  <c r="AG11" i="1"/>
  <c r="AH6" i="1"/>
  <c r="AH14" i="1" s="1"/>
  <c r="AG6" i="1"/>
  <c r="AB11" i="1"/>
  <c r="AA11" i="1"/>
  <c r="AB9" i="1"/>
  <c r="AA9" i="1"/>
  <c r="Y11" i="1"/>
  <c r="X11" i="1"/>
  <c r="Y9" i="1"/>
  <c r="X9" i="1"/>
  <c r="V5" i="1"/>
  <c r="U5" i="1"/>
  <c r="V11" i="1"/>
  <c r="U11" i="1"/>
  <c r="S9" i="1"/>
  <c r="R9" i="1"/>
  <c r="S11" i="1"/>
  <c r="R11" i="1"/>
  <c r="P8" i="1"/>
  <c r="S15" i="1" l="1"/>
  <c r="S20" i="1"/>
  <c r="AB15" i="1"/>
  <c r="AB20" i="1"/>
  <c r="AZ15" i="1"/>
  <c r="AZ20" i="1"/>
  <c r="AQ15" i="1"/>
  <c r="AQ20" i="1"/>
  <c r="K15" i="1"/>
  <c r="K20" i="1"/>
  <c r="AE15" i="1"/>
  <c r="AE20" i="1"/>
  <c r="BE15" i="1"/>
  <c r="BE20" i="1"/>
  <c r="BB15" i="1"/>
  <c r="BB20" i="1"/>
  <c r="X15" i="1"/>
  <c r="X20" i="1"/>
  <c r="AV15" i="1"/>
  <c r="AV20" i="1"/>
  <c r="AA15" i="1"/>
  <c r="AA20" i="1"/>
  <c r="Y15" i="1"/>
  <c r="Y20" i="1"/>
  <c r="AW15" i="1"/>
  <c r="AW20" i="1"/>
  <c r="BF14" i="1"/>
  <c r="BF9" i="1"/>
  <c r="AG9" i="1"/>
  <c r="AG14" i="1"/>
  <c r="BD9" i="1"/>
  <c r="BD14" i="1"/>
  <c r="BC15" i="1"/>
  <c r="BC14" i="1"/>
  <c r="AN9" i="1"/>
  <c r="AN14" i="1"/>
  <c r="U9" i="1"/>
  <c r="U20" i="1" s="1"/>
  <c r="L5" i="1"/>
  <c r="AH9" i="1"/>
  <c r="M6" i="1"/>
  <c r="M14" i="1" s="1"/>
  <c r="V9" i="1"/>
  <c r="M5" i="1"/>
  <c r="P9" i="1"/>
  <c r="M8" i="1"/>
  <c r="L6" i="1"/>
  <c r="L14" i="1" s="1"/>
  <c r="L11" i="1"/>
  <c r="AY15" i="1"/>
  <c r="AD15" i="1"/>
  <c r="AP15" i="1"/>
  <c r="R20" i="1"/>
  <c r="R15" i="1"/>
  <c r="P11" i="1"/>
  <c r="M11" i="1" s="1"/>
  <c r="AG15" i="1" l="1"/>
  <c r="AG20" i="1"/>
  <c r="BF15" i="1"/>
  <c r="BF20" i="1"/>
  <c r="BD15" i="1"/>
  <c r="BD20" i="1"/>
  <c r="P15" i="1"/>
  <c r="P20" i="1"/>
  <c r="AH15" i="1"/>
  <c r="AH20" i="1"/>
  <c r="AN15" i="1"/>
  <c r="AN20" i="1"/>
  <c r="V15" i="1"/>
  <c r="V20" i="1"/>
  <c r="L9" i="1"/>
  <c r="U15" i="1"/>
  <c r="M9" i="1"/>
  <c r="L15" i="1" l="1"/>
  <c r="L20" i="1"/>
  <c r="M15" i="1"/>
  <c r="M20" i="1"/>
</calcChain>
</file>

<file path=xl/sharedStrings.xml><?xml version="1.0" encoding="utf-8"?>
<sst xmlns="http://schemas.openxmlformats.org/spreadsheetml/2006/main" count="108" uniqueCount="79">
  <si>
    <t>ECB</t>
  </si>
  <si>
    <t>Bundesbank</t>
  </si>
  <si>
    <t>BdeF</t>
  </si>
  <si>
    <t>Reval acs</t>
  </si>
  <si>
    <t>monpol book</t>
  </si>
  <si>
    <t>monpol mkt</t>
  </si>
  <si>
    <t>BdIt</t>
  </si>
  <si>
    <t>BdeE</t>
  </si>
  <si>
    <t>BNB</t>
  </si>
  <si>
    <t>DNB</t>
  </si>
  <si>
    <t>Suomen Pankki</t>
  </si>
  <si>
    <t>CHF</t>
  </si>
  <si>
    <t>Swiss National Bank</t>
  </si>
  <si>
    <t>GBP</t>
  </si>
  <si>
    <t>USD</t>
  </si>
  <si>
    <t>Federal Reserve</t>
  </si>
  <si>
    <t>Banco de Portugal</t>
  </si>
  <si>
    <t>Bank of Greece</t>
  </si>
  <si>
    <t>net mk to mkt equity</t>
  </si>
  <si>
    <t>Leverage (mtm)</t>
  </si>
  <si>
    <t>mtm equity as % GDP</t>
  </si>
  <si>
    <t>Central Bank of Ireland</t>
  </si>
  <si>
    <t>DE</t>
  </si>
  <si>
    <t>FR</t>
  </si>
  <si>
    <t>IT</t>
  </si>
  <si>
    <t>ES</t>
  </si>
  <si>
    <t>BE</t>
  </si>
  <si>
    <t>PT</t>
  </si>
  <si>
    <t>GR</t>
  </si>
  <si>
    <t>IE</t>
  </si>
  <si>
    <t>FI</t>
  </si>
  <si>
    <t>Eurosystem</t>
  </si>
  <si>
    <t>Gold revaluation accounts</t>
  </si>
  <si>
    <t>Austrian National Bank</t>
  </si>
  <si>
    <t>2024P</t>
  </si>
  <si>
    <t>Reported profit i.e. after provisions but before transfer from reserves</t>
  </si>
  <si>
    <t>De Nederlandsche Bank</t>
  </si>
  <si>
    <t>Banco de Espana</t>
  </si>
  <si>
    <t>Banca d'Italia</t>
  </si>
  <si>
    <t>Banque de France</t>
  </si>
  <si>
    <t>mtm</t>
  </si>
  <si>
    <t>SNB Income statement</t>
  </si>
  <si>
    <t>Annual result</t>
  </si>
  <si>
    <t>Distribution to cantons and federation</t>
  </si>
  <si>
    <t xml:space="preserve"> </t>
  </si>
  <si>
    <t>Leverage reported</t>
  </si>
  <si>
    <t>unrealized monpol loss (stock)</t>
  </si>
  <si>
    <t>Note:unrealized monpol loss is the "due from HM Treasury under indemnity" stock. Corresponds to fair value of the APF assets minus liabilities (loan from BoE).</t>
  </si>
  <si>
    <t>Gold is reimbursable certificates from Treasury</t>
  </si>
  <si>
    <t>Note: we subtract the idemnity payments received by AFP in 2022-24 from the capital and reserves</t>
  </si>
  <si>
    <t>Bank of England+AFP</t>
  </si>
  <si>
    <t>Provisions for general or financial risks not included in reported capital and reserves</t>
  </si>
  <si>
    <t>Capital and reserves minus loss in most recent year if that has not been subtracted munus accumulated losses cariied forward AND MINUS INDEMINTY CAP VALUE</t>
  </si>
  <si>
    <t>Gold at fair value</t>
  </si>
  <si>
    <t>exch rate eur</t>
  </si>
  <si>
    <t/>
  </si>
  <si>
    <t>GDP (eurostat -eur)</t>
  </si>
  <si>
    <t>Total assets (/1000)</t>
  </si>
  <si>
    <t>GDP (nat curr - from Eurostat if available or imf weo March 2025 if not)</t>
  </si>
  <si>
    <t>NL</t>
  </si>
  <si>
    <t>AT</t>
  </si>
  <si>
    <t>SNB</t>
  </si>
  <si>
    <t>BOE+AFP</t>
  </si>
  <si>
    <t xml:space="preserve">Fed </t>
  </si>
  <si>
    <t>BOE+AFP Rep</t>
  </si>
  <si>
    <t>Fed Rep</t>
  </si>
  <si>
    <t>Buba Rep</t>
  </si>
  <si>
    <t>BOE+AFP mtm</t>
  </si>
  <si>
    <t>Fed mtm</t>
  </si>
  <si>
    <t>Buba mtm</t>
  </si>
  <si>
    <t>Fed</t>
  </si>
  <si>
    <t>National Bank of Belgium</t>
  </si>
  <si>
    <t>Bank of England Plus APF</t>
  </si>
  <si>
    <t>Lowest mtm/gdp%</t>
  </si>
  <si>
    <t>March</t>
  </si>
  <si>
    <t>Copied from "Main"</t>
  </si>
  <si>
    <t>end-Feb</t>
  </si>
  <si>
    <t>ECB+Biggest 11</t>
  </si>
  <si>
    <t>2024 mtm as % GDP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</si>
</sst>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#,##0.##########"/>
  </numFmts>
  <fonts count="14" x14ac:knownFonts="1">
    <font>
      <sz val="11"/>
      <color theme="1"/>
      <name val="Aptos Narrow"/>
      <family val="2"/>
      <scheme val="minor"/>
    </font>
    <font>
      <sz val="10"/>
      <color rgb="FF1F1F1F"/>
      <name val="Arial"/>
      <family val="2"/>
    </font>
    <font>
      <sz val="11"/>
      <color rgb="FF1F1F1F"/>
      <name val="Aptos Narrow"/>
      <family val="2"/>
    </font>
    <font>
      <i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1F1F1F"/>
      <name val="Aptos Narrow"/>
      <family val="2"/>
      <scheme val="minor"/>
    </font>
    <font>
      <b/>
      <sz val="11"/>
      <name val="Aptos Narrow"/>
      <family val="2"/>
      <scheme val="minor"/>
    </font>
    <font>
      <sz val="9"/>
      <color rgb="FF001D35"/>
      <name val="Arial"/>
      <family val="2"/>
    </font>
    <font>
      <sz val="11"/>
      <color rgb="FFFF0000"/>
      <name val="Aptos Narrow"/>
      <family val="2"/>
      <scheme val="minor"/>
    </font>
    <font>
      <sz val="11"/>
      <color theme="3" tint="0.499984740745262"/>
      <name val="Aptos Narrow"/>
      <family val="2"/>
      <scheme val="minor"/>
    </font>
    <font>
      <sz val="9"/>
      <name val="Arial"/>
      <family val="2"/>
    </font>
    <font>
      <sz val="11"/>
      <color theme="9" tint="-0.249977111117893"/>
      <name val="Aptos Narrow"/>
      <family val="2"/>
      <scheme val="minor"/>
    </font>
    <font>
      <i/>
      <sz val="11"/>
      <color theme="9" tint="-0.249977111117893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AF7"/>
      </patternFill>
    </fill>
    <fill>
      <patternFill patternType="solid">
        <fgColor rgb="FFF6F6F6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3" fontId="0" fillId="0" borderId="0" xfId="0" applyNumberFormat="1" applyAlignment="1">
      <alignment horizontal="right"/>
    </xf>
    <xf numFmtId="1" fontId="6" fillId="2" borderId="0" xfId="0" applyNumberFormat="1" applyFont="1" applyFill="1" applyAlignment="1">
      <alignment horizontal="right" vertical="top" wrapText="1"/>
    </xf>
    <xf numFmtId="1" fontId="6" fillId="2" borderId="0" xfId="0" applyNumberFormat="1" applyFont="1" applyFill="1" applyAlignment="1">
      <alignment horizontal="right" vertical="center" wrapText="1"/>
    </xf>
    <xf numFmtId="1" fontId="0" fillId="0" borderId="0" xfId="0" applyNumberFormat="1" applyAlignment="1">
      <alignment horizontal="right"/>
    </xf>
    <xf numFmtId="1" fontId="6" fillId="2" borderId="0" xfId="0" applyNumberFormat="1" applyFont="1" applyFill="1" applyAlignment="1">
      <alignment horizontal="right" wrapText="1"/>
    </xf>
    <xf numFmtId="2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center"/>
    </xf>
    <xf numFmtId="0" fontId="0" fillId="0" borderId="1" xfId="0" applyBorder="1"/>
    <xf numFmtId="0" fontId="3" fillId="0" borderId="1" xfId="0" applyFont="1" applyBorder="1"/>
    <xf numFmtId="0" fontId="5" fillId="0" borderId="1" xfId="0" applyFont="1" applyBorder="1"/>
    <xf numFmtId="0" fontId="4" fillId="0" borderId="1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vertical="center" wrapText="1"/>
    </xf>
    <xf numFmtId="1" fontId="0" fillId="0" borderId="0" xfId="0" applyNumberFormat="1"/>
    <xf numFmtId="1" fontId="5" fillId="0" borderId="0" xfId="0" applyNumberFormat="1" applyFont="1"/>
    <xf numFmtId="3" fontId="0" fillId="3" borderId="2" xfId="0" applyNumberFormat="1" applyFill="1" applyBorder="1" applyAlignment="1">
      <alignment horizontal="right"/>
    </xf>
    <xf numFmtId="3" fontId="0" fillId="3" borderId="0" xfId="0" applyNumberFormat="1" applyFill="1" applyAlignment="1">
      <alignment horizontal="right"/>
    </xf>
    <xf numFmtId="2" fontId="0" fillId="0" borderId="0" xfId="0" applyNumberFormat="1" applyAlignment="1">
      <alignment shrinkToFit="1"/>
    </xf>
    <xf numFmtId="2" fontId="0" fillId="0" borderId="1" xfId="0" applyNumberFormat="1" applyBorder="1" applyAlignment="1">
      <alignment shrinkToFit="1"/>
    </xf>
    <xf numFmtId="0" fontId="7" fillId="0" borderId="0" xfId="0" applyFont="1"/>
    <xf numFmtId="0" fontId="8" fillId="0" borderId="0" xfId="0" applyFont="1"/>
    <xf numFmtId="165" fontId="0" fillId="0" borderId="0" xfId="0" applyNumberFormat="1"/>
    <xf numFmtId="0" fontId="9" fillId="0" borderId="0" xfId="0" applyFont="1"/>
    <xf numFmtId="0" fontId="9" fillId="0" borderId="1" xfId="0" applyFont="1" applyBorder="1"/>
    <xf numFmtId="2" fontId="9" fillId="0" borderId="0" xfId="0" applyNumberFormat="1" applyFont="1"/>
    <xf numFmtId="2" fontId="9" fillId="0" borderId="1" xfId="0" applyNumberFormat="1" applyFont="1" applyBorder="1"/>
    <xf numFmtId="2" fontId="4" fillId="0" borderId="0" xfId="0" applyNumberFormat="1" applyFont="1" applyAlignment="1">
      <alignment horizontal="right"/>
    </xf>
    <xf numFmtId="0" fontId="10" fillId="0" borderId="0" xfId="0" applyFont="1"/>
    <xf numFmtId="0" fontId="10" fillId="0" borderId="0" xfId="0" applyFont="1" applyAlignment="1">
      <alignment horizontal="right" vertical="top"/>
    </xf>
    <xf numFmtId="166" fontId="11" fillId="4" borderId="0" xfId="0" applyNumberFormat="1" applyFont="1" applyFill="1" applyAlignment="1">
      <alignment horizontal="right" vertical="center" shrinkToFit="1"/>
    </xf>
    <xf numFmtId="3" fontId="11" fillId="4" borderId="0" xfId="0" applyNumberFormat="1" applyFont="1" applyFill="1" applyAlignment="1">
      <alignment horizontal="right" vertical="center" shrinkToFit="1"/>
    </xf>
    <xf numFmtId="3" fontId="11" fillId="0" borderId="0" xfId="0" applyNumberFormat="1" applyFont="1" applyAlignment="1">
      <alignment horizontal="right" vertical="center" shrinkToFit="1"/>
    </xf>
    <xf numFmtId="166" fontId="11" fillId="0" borderId="0" xfId="0" applyNumberFormat="1" applyFont="1" applyAlignment="1">
      <alignment horizontal="right" vertical="center" shrinkToFit="1"/>
    </xf>
    <xf numFmtId="4" fontId="0" fillId="0" borderId="0" xfId="0" applyNumberFormat="1"/>
    <xf numFmtId="3" fontId="0" fillId="0" borderId="0" xfId="0" applyNumberFormat="1"/>
    <xf numFmtId="1" fontId="10" fillId="0" borderId="0" xfId="0" applyNumberFormat="1" applyFont="1"/>
    <xf numFmtId="0" fontId="12" fillId="0" borderId="0" xfId="0" applyFont="1"/>
    <xf numFmtId="0" fontId="12" fillId="0" borderId="1" xfId="0" applyFont="1" applyBorder="1"/>
    <xf numFmtId="2" fontId="12" fillId="0" borderId="0" xfId="0" applyNumberFormat="1" applyFont="1" applyAlignment="1">
      <alignment horizontal="right" vertical="center"/>
    </xf>
    <xf numFmtId="2" fontId="13" fillId="0" borderId="0" xfId="0" applyNumberFormat="1" applyFont="1" applyAlignment="1">
      <alignment horizontal="right" vertical="center"/>
    </xf>
    <xf numFmtId="2" fontId="0" fillId="0" borderId="1" xfId="0" applyNumberFormat="1" applyBorder="1"/>
    <xf numFmtId="164" fontId="3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baseline="0"/>
              <a:t> Leverage Ratios at </a:t>
            </a:r>
            <a:r>
              <a:rPr lang="en-IE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4 Big Central Banks 2024</a:t>
            </a:r>
            <a:endParaRPr lang="en-IE" sz="12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Reported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(Charts!$O$1:$Q$1,Charts!$S$1)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 </c:v>
                </c:pt>
                <c:pt idx="3">
                  <c:v>Eurosystem</c:v>
                </c:pt>
              </c:strCache>
            </c:strRef>
          </c:cat>
          <c:val>
            <c:numRef>
              <c:f>(Charts!$O$5:$Q$5,Charts!$S$5)</c:f>
              <c:numCache>
                <c:formatCode>0.0</c:formatCode>
                <c:ptCount val="4"/>
                <c:pt idx="0">
                  <c:v>16.781381733021078</c:v>
                </c:pt>
                <c:pt idx="1">
                  <c:v>-4.3</c:v>
                </c:pt>
                <c:pt idx="2">
                  <c:v>-2.4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70-4BC0-A365-09A7D8083AE6}"/>
            </c:ext>
          </c:extLst>
        </c:ser>
        <c:ser>
          <c:idx val="1"/>
          <c:order val="1"/>
          <c:tx>
            <c:v>MTM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(Charts!$O$1:$Q$1,Charts!$S$1)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 </c:v>
                </c:pt>
                <c:pt idx="3">
                  <c:v>Eurosystem</c:v>
                </c:pt>
              </c:strCache>
            </c:strRef>
          </c:cat>
          <c:val>
            <c:numRef>
              <c:f>(Charts!$O$6:$Q$6,Charts!$S$6)</c:f>
              <c:numCache>
                <c:formatCode>0.0</c:formatCode>
                <c:ptCount val="4"/>
                <c:pt idx="0">
                  <c:v>16.781381733021078</c:v>
                </c:pt>
                <c:pt idx="1">
                  <c:v>-23.1</c:v>
                </c:pt>
                <c:pt idx="2">
                  <c:v>-17.399999999999999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70-4BC0-A365-09A7D8083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3841792"/>
        <c:axId val="503839872"/>
      </c:barChart>
      <c:catAx>
        <c:axId val="5038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39872"/>
        <c:crosses val="autoZero"/>
        <c:auto val="1"/>
        <c:lblAlgn val="ctr"/>
        <c:lblOffset val="100"/>
        <c:noMultiLvlLbl val="0"/>
      </c:catAx>
      <c:valAx>
        <c:axId val="503839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4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 baseline="0"/>
              <a:t> Leverage Ratios at </a:t>
            </a:r>
            <a:r>
              <a:rPr lang="en-IE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4 Big Central Banks 2024</a:t>
            </a:r>
            <a:endParaRPr lang="en-IE" sz="1200" baseline="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I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Reported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Charts!$AE$1:$AH$1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(Charts!$O$5:$Q$5,Charts!$S$5)</c:f>
              <c:numCache>
                <c:formatCode>0.0</c:formatCode>
                <c:ptCount val="4"/>
                <c:pt idx="0">
                  <c:v>16.781381733021078</c:v>
                </c:pt>
                <c:pt idx="1">
                  <c:v>-4.3</c:v>
                </c:pt>
                <c:pt idx="2">
                  <c:v>-2.4</c:v>
                </c:pt>
                <c:pt idx="3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CE-44EF-BEED-ECFB460B2E64}"/>
            </c:ext>
          </c:extLst>
        </c:ser>
        <c:ser>
          <c:idx val="1"/>
          <c:order val="1"/>
          <c:tx>
            <c:v>MTM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Charts!$AE$1:$AH$1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(Charts!$O$6:$Q$6,Charts!$S$6)</c:f>
              <c:numCache>
                <c:formatCode>0.0</c:formatCode>
                <c:ptCount val="4"/>
                <c:pt idx="0">
                  <c:v>16.781381733021078</c:v>
                </c:pt>
                <c:pt idx="1">
                  <c:v>-23.1</c:v>
                </c:pt>
                <c:pt idx="2">
                  <c:v>-17.399999999999999</c:v>
                </c:pt>
                <c:pt idx="3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CE-44EF-BEED-ECFB460B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503841792"/>
        <c:axId val="503839872"/>
      </c:barChart>
      <c:lineChart>
        <c:grouping val="stacked"/>
        <c:varyColors val="0"/>
        <c:ser>
          <c:idx val="2"/>
          <c:order val="2"/>
          <c:tx>
            <c:v>MTM capital as % GDP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noFill/>
              <a:ln w="88900">
                <a:solidFill>
                  <a:schemeClr val="accent3"/>
                </a:solidFill>
              </a:ln>
              <a:effectLst/>
            </c:spPr>
          </c:marker>
          <c:cat>
            <c:strRef>
              <c:f>Charts!$AE$1:$AH$1</c:f>
              <c:strCache>
                <c:ptCount val="4"/>
                <c:pt idx="0">
                  <c:v>SNB</c:v>
                </c:pt>
                <c:pt idx="1">
                  <c:v>BOE+AFP</c:v>
                </c:pt>
                <c:pt idx="2">
                  <c:v>Fed</c:v>
                </c:pt>
                <c:pt idx="3">
                  <c:v>Eurosystem</c:v>
                </c:pt>
              </c:strCache>
            </c:strRef>
          </c:cat>
          <c:val>
            <c:numRef>
              <c:f>Charts!$AE$3:$AH$3</c:f>
              <c:numCache>
                <c:formatCode>General</c:formatCode>
                <c:ptCount val="4"/>
                <c:pt idx="0">
                  <c:v>17.37</c:v>
                </c:pt>
                <c:pt idx="1">
                  <c:v>-7.64</c:v>
                </c:pt>
                <c:pt idx="2">
                  <c:v>-4.22</c:v>
                </c:pt>
                <c:pt idx="3">
                  <c:v>4.37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CE-44EF-BEED-ECFB460B2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841792"/>
        <c:axId val="503839872"/>
      </c:lineChart>
      <c:catAx>
        <c:axId val="503841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39872"/>
        <c:crosses val="autoZero"/>
        <c:auto val="1"/>
        <c:lblAlgn val="ctr"/>
        <c:lblOffset val="100"/>
        <c:noMultiLvlLbl val="0"/>
      </c:catAx>
      <c:valAx>
        <c:axId val="50383987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3841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Swiss National Bank: Annual Profit and Dividends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Profit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'SNB Income statement'!$B$3:$S$3</c:f>
              <c:numCache>
                <c:formatCode>General</c:formatCode>
                <c:ptCount val="18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  <c:pt idx="10">
                  <c:v>2014</c:v>
                </c:pt>
                <c:pt idx="11">
                  <c:v>2013</c:v>
                </c:pt>
                <c:pt idx="12">
                  <c:v>2012</c:v>
                </c:pt>
                <c:pt idx="13">
                  <c:v>2011</c:v>
                </c:pt>
                <c:pt idx="14">
                  <c:v>2010</c:v>
                </c:pt>
                <c:pt idx="15">
                  <c:v>2009</c:v>
                </c:pt>
                <c:pt idx="16">
                  <c:v>2008</c:v>
                </c:pt>
                <c:pt idx="17">
                  <c:v>2007</c:v>
                </c:pt>
              </c:numCache>
            </c:numRef>
          </c:cat>
          <c:val>
            <c:numRef>
              <c:f>'SNB Income statement'!$B$4:$S$4</c:f>
              <c:numCache>
                <c:formatCode>General</c:formatCode>
                <c:ptCount val="18"/>
                <c:pt idx="0">
                  <c:v>80729</c:v>
                </c:pt>
                <c:pt idx="1">
                  <c:v>-3184</c:v>
                </c:pt>
                <c:pt idx="2">
                  <c:v>-132480</c:v>
                </c:pt>
                <c:pt idx="3">
                  <c:v>26300</c:v>
                </c:pt>
                <c:pt idx="4">
                  <c:v>20869</c:v>
                </c:pt>
                <c:pt idx="5">
                  <c:v>48852</c:v>
                </c:pt>
                <c:pt idx="6">
                  <c:v>-14934</c:v>
                </c:pt>
                <c:pt idx="7">
                  <c:v>54372</c:v>
                </c:pt>
                <c:pt idx="8">
                  <c:v>24476</c:v>
                </c:pt>
                <c:pt idx="9">
                  <c:v>-23251</c:v>
                </c:pt>
                <c:pt idx="10">
                  <c:v>38844</c:v>
                </c:pt>
                <c:pt idx="11">
                  <c:v>-8743</c:v>
                </c:pt>
                <c:pt idx="12">
                  <c:v>5956</c:v>
                </c:pt>
                <c:pt idx="13">
                  <c:v>13029</c:v>
                </c:pt>
                <c:pt idx="14">
                  <c:v>-20807</c:v>
                </c:pt>
                <c:pt idx="15">
                  <c:v>9955</c:v>
                </c:pt>
                <c:pt idx="16">
                  <c:v>-4729</c:v>
                </c:pt>
                <c:pt idx="17">
                  <c:v>7996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75-4544-804A-693737BE1853}"/>
            </c:ext>
          </c:extLst>
        </c:ser>
        <c:ser>
          <c:idx val="1"/>
          <c:order val="1"/>
          <c:tx>
            <c:v>Dividends paid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'SNB Income statement'!$B$3:$S$3</c:f>
              <c:numCache>
                <c:formatCode>General</c:formatCode>
                <c:ptCount val="18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  <c:pt idx="3">
                  <c:v>2021</c:v>
                </c:pt>
                <c:pt idx="4">
                  <c:v>2020</c:v>
                </c:pt>
                <c:pt idx="5">
                  <c:v>2019</c:v>
                </c:pt>
                <c:pt idx="6">
                  <c:v>2018</c:v>
                </c:pt>
                <c:pt idx="7">
                  <c:v>2017</c:v>
                </c:pt>
                <c:pt idx="8">
                  <c:v>2016</c:v>
                </c:pt>
                <c:pt idx="9">
                  <c:v>2015</c:v>
                </c:pt>
                <c:pt idx="10">
                  <c:v>2014</c:v>
                </c:pt>
                <c:pt idx="11">
                  <c:v>2013</c:v>
                </c:pt>
                <c:pt idx="12">
                  <c:v>2012</c:v>
                </c:pt>
                <c:pt idx="13">
                  <c:v>2011</c:v>
                </c:pt>
                <c:pt idx="14">
                  <c:v>2010</c:v>
                </c:pt>
                <c:pt idx="15">
                  <c:v>2009</c:v>
                </c:pt>
                <c:pt idx="16">
                  <c:v>2008</c:v>
                </c:pt>
                <c:pt idx="17">
                  <c:v>2007</c:v>
                </c:pt>
              </c:numCache>
            </c:numRef>
          </c:cat>
          <c:val>
            <c:numRef>
              <c:f>'SNB Income statement'!$B$5:$S$5</c:f>
              <c:numCache>
                <c:formatCode>General</c:formatCode>
                <c:ptCount val="18"/>
                <c:pt idx="0">
                  <c:v>3000</c:v>
                </c:pt>
                <c:pt idx="1">
                  <c:v>0</c:v>
                </c:pt>
                <c:pt idx="2">
                  <c:v>0</c:v>
                </c:pt>
                <c:pt idx="3">
                  <c:v>6000</c:v>
                </c:pt>
                <c:pt idx="4">
                  <c:v>6000</c:v>
                </c:pt>
                <c:pt idx="5">
                  <c:v>4000</c:v>
                </c:pt>
                <c:pt idx="6">
                  <c:v>2000</c:v>
                </c:pt>
                <c:pt idx="7">
                  <c:v>2000</c:v>
                </c:pt>
                <c:pt idx="8">
                  <c:v>1730</c:v>
                </c:pt>
                <c:pt idx="9">
                  <c:v>1000</c:v>
                </c:pt>
                <c:pt idx="10">
                  <c:v>2000</c:v>
                </c:pt>
                <c:pt idx="11">
                  <c:v>0</c:v>
                </c:pt>
                <c:pt idx="12">
                  <c:v>1000</c:v>
                </c:pt>
                <c:pt idx="13">
                  <c:v>1000</c:v>
                </c:pt>
                <c:pt idx="14">
                  <c:v>2500</c:v>
                </c:pt>
                <c:pt idx="15">
                  <c:v>2500</c:v>
                </c:pt>
                <c:pt idx="16">
                  <c:v>2500</c:v>
                </c:pt>
                <c:pt idx="17">
                  <c:v>2500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75-4544-804A-693737BE1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7361599"/>
        <c:axId val="487362079"/>
      </c:lineChart>
      <c:catAx>
        <c:axId val="487361599"/>
        <c:scaling>
          <c:orientation val="maxMin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62079"/>
        <c:crosses val="autoZero"/>
        <c:auto val="1"/>
        <c:lblAlgn val="ctr"/>
        <c:lblOffset val="100"/>
        <c:noMultiLvlLbl val="0"/>
      </c:catAx>
      <c:valAx>
        <c:axId val="487362079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CHF billions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736159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556260</xdr:colOff>
      <xdr:row>11</xdr:row>
      <xdr:rowOff>110490</xdr:rowOff>
    </xdr:from>
    <xdr:to>
      <xdr:col>27</xdr:col>
      <xdr:colOff>20955</xdr:colOff>
      <xdr:row>26</xdr:row>
      <xdr:rowOff>129540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A5BE815-D7CC-4E15-AF69-A043CC3C50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556260</xdr:colOff>
      <xdr:row>27</xdr:row>
      <xdr:rowOff>110490</xdr:rowOff>
    </xdr:from>
    <xdr:to>
      <xdr:col>27</xdr:col>
      <xdr:colOff>20955</xdr:colOff>
      <xdr:row>42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936A98-46CF-46F4-93F1-CC06041F6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1999297</xdr:colOff>
      <xdr:row>6</xdr:row>
      <xdr:rowOff>66675</xdr:rowOff>
    </xdr:from>
    <xdr:to>
      <xdr:col>8</xdr:col>
      <xdr:colOff>16192</xdr:colOff>
      <xdr:row>21</xdr:row>
      <xdr:rowOff>97155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2EA0A4E-0532-C340-4CFC-870EB4F89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3F607-DA0C-4E1A-A546-A6C630FDF9D6}">
  <dimension ref="G1:CO52"/>
  <sheetViews>
    <sheetView topLeftCell="G1" workbookViewId="0">
      <pane xSplit="1" topLeftCell="AS1" activePane="topRight" state="frozen"/>
      <selection activeCell="G1" sqref="G1"/>
      <selection pane="topRight" activeCell="L3" sqref="L3"/>
    </sheetView>
  </sheetViews>
  <sheetFormatPr defaultRowHeight="14.4" x14ac:dyDescent="0.55000000000000004"/>
  <cols>
    <col min="7" max="7" width="19.47265625" customWidth="1"/>
    <col min="8" max="8" width="9.68359375" customWidth="1"/>
    <col min="9" max="9" width="9.5234375" customWidth="1"/>
    <col min="10" max="10" width="10.578125" style="12" customWidth="1"/>
    <col min="11" max="12" width="10.578125" customWidth="1"/>
    <col min="13" max="13" width="10.578125" style="12" customWidth="1"/>
    <col min="14" max="14" width="10.578125" customWidth="1"/>
    <col min="16" max="16" width="8.83984375" style="12"/>
    <col min="19" max="19" width="10.15625" style="12" bestFit="1" customWidth="1"/>
    <col min="20" max="20" width="9.15625" customWidth="1"/>
    <col min="22" max="22" width="8.83984375" style="12"/>
    <col min="25" max="25" width="8.83984375" style="12"/>
    <col min="28" max="28" width="8.83984375" style="12"/>
    <col min="31" max="31" width="8.83984375" style="12"/>
    <col min="34" max="34" width="8.83984375" style="12"/>
    <col min="37" max="37" width="8.83984375" style="12"/>
    <col min="40" max="40" width="8.83984375" style="12"/>
    <col min="41" max="41" width="9.05078125" customWidth="1"/>
    <col min="43" max="43" width="8.83984375" style="12"/>
    <col min="46" max="46" width="8.83984375" style="12"/>
    <col min="49" max="49" width="8.83984375" style="12"/>
    <col min="53" max="53" width="8.83984375" style="12"/>
    <col min="56" max="56" width="8.83984375" style="12"/>
    <col min="58" max="58" width="11.26171875" bestFit="1" customWidth="1"/>
    <col min="59" max="59" width="9.3125" style="12" customWidth="1"/>
    <col min="60" max="60" width="9.3125" customWidth="1"/>
    <col min="61" max="61" width="9.26171875" bestFit="1" customWidth="1"/>
    <col min="62" max="62" width="8.89453125" bestFit="1" customWidth="1"/>
    <col min="63" max="63" width="9.20703125" style="12" bestFit="1" customWidth="1"/>
    <col min="66" max="66" width="8.83984375" style="12"/>
    <col min="67" max="67" width="10.68359375" bestFit="1" customWidth="1"/>
    <col min="69" max="69" width="8.83984375" style="12"/>
    <col min="72" max="72" width="8.83984375" style="12"/>
    <col min="73" max="74" width="10.26171875" bestFit="1" customWidth="1"/>
    <col min="75" max="75" width="10.26171875" style="12" bestFit="1" customWidth="1"/>
    <col min="78" max="78" width="8.83984375" style="12"/>
    <col min="81" max="81" width="8.83984375" style="12"/>
    <col min="84" max="84" width="8.83984375" style="12"/>
    <col min="85" max="86" width="10.20703125" bestFit="1" customWidth="1"/>
    <col min="87" max="87" width="10.20703125" style="12" bestFit="1" customWidth="1"/>
    <col min="88" max="88" width="10.26171875" bestFit="1" customWidth="1"/>
    <col min="89" max="89" width="10.3125" bestFit="1" customWidth="1"/>
    <col min="90" max="90" width="10.26171875" style="12" bestFit="1" customWidth="1"/>
    <col min="93" max="93" width="8.83984375" style="12"/>
  </cols>
  <sheetData>
    <row r="1" spans="7:93" x14ac:dyDescent="0.55000000000000004">
      <c r="AY1" t="s">
        <v>11</v>
      </c>
      <c r="BC1" t="s">
        <v>13</v>
      </c>
      <c r="BF1" t="s">
        <v>14</v>
      </c>
    </row>
    <row r="2" spans="7:93" x14ac:dyDescent="0.55000000000000004">
      <c r="I2" t="s">
        <v>31</v>
      </c>
      <c r="L2" t="s">
        <v>77</v>
      </c>
      <c r="O2" t="s">
        <v>0</v>
      </c>
      <c r="R2" t="s">
        <v>1</v>
      </c>
      <c r="U2" t="s">
        <v>2</v>
      </c>
      <c r="X2" t="s">
        <v>6</v>
      </c>
      <c r="AA2" t="s">
        <v>7</v>
      </c>
      <c r="AD2" t="s">
        <v>9</v>
      </c>
      <c r="AG2" t="s">
        <v>8</v>
      </c>
      <c r="AJ2" t="s">
        <v>33</v>
      </c>
      <c r="AM2" t="s">
        <v>16</v>
      </c>
      <c r="AP2" t="s">
        <v>17</v>
      </c>
      <c r="AS2" t="s">
        <v>21</v>
      </c>
      <c r="AV2" t="s">
        <v>10</v>
      </c>
      <c r="AY2" t="s">
        <v>12</v>
      </c>
      <c r="BB2" t="s">
        <v>76</v>
      </c>
      <c r="BC2" t="s">
        <v>50</v>
      </c>
      <c r="BF2" t="s">
        <v>15</v>
      </c>
    </row>
    <row r="3" spans="7:93" x14ac:dyDescent="0.55000000000000004">
      <c r="H3" s="11" t="s">
        <v>34</v>
      </c>
      <c r="I3" s="1">
        <v>2023</v>
      </c>
      <c r="J3" s="13">
        <v>2022</v>
      </c>
      <c r="K3" s="1">
        <v>2024</v>
      </c>
      <c r="L3" s="1">
        <v>2023</v>
      </c>
      <c r="M3" s="13">
        <v>2022</v>
      </c>
      <c r="N3" s="1">
        <v>2024</v>
      </c>
      <c r="O3" s="1">
        <v>2023</v>
      </c>
      <c r="P3" s="13">
        <v>2022</v>
      </c>
      <c r="Q3" s="1">
        <v>2024</v>
      </c>
      <c r="R3" s="1">
        <v>2023</v>
      </c>
      <c r="S3" s="13">
        <v>2022</v>
      </c>
      <c r="T3" s="1">
        <v>2024</v>
      </c>
      <c r="U3" s="1">
        <v>2023</v>
      </c>
      <c r="V3" s="13">
        <v>2022</v>
      </c>
      <c r="W3" s="1">
        <v>2024</v>
      </c>
      <c r="X3" s="1">
        <v>2023</v>
      </c>
      <c r="Y3" s="13">
        <v>2022</v>
      </c>
      <c r="Z3" s="1">
        <v>2024</v>
      </c>
      <c r="AA3" s="1">
        <v>2023</v>
      </c>
      <c r="AB3" s="13">
        <v>2022</v>
      </c>
      <c r="AC3" s="1">
        <v>2024</v>
      </c>
      <c r="AD3" s="1">
        <v>2023</v>
      </c>
      <c r="AE3" s="13">
        <v>2022</v>
      </c>
      <c r="AF3" s="1">
        <v>2024</v>
      </c>
      <c r="AG3" s="1">
        <v>2023</v>
      </c>
      <c r="AH3" s="13">
        <v>2022</v>
      </c>
      <c r="AI3" s="1">
        <v>2024</v>
      </c>
      <c r="AJ3" s="1">
        <v>2023</v>
      </c>
      <c r="AK3" s="13">
        <v>2022</v>
      </c>
      <c r="AL3" s="1">
        <v>2024</v>
      </c>
      <c r="AM3" s="1">
        <v>2023</v>
      </c>
      <c r="AN3" s="13">
        <v>2022</v>
      </c>
      <c r="AO3" s="1">
        <v>2024</v>
      </c>
      <c r="AP3" s="1">
        <v>2023</v>
      </c>
      <c r="AQ3" s="13">
        <v>2022</v>
      </c>
      <c r="AR3" s="1">
        <v>2024</v>
      </c>
      <c r="AS3" s="1">
        <v>2023</v>
      </c>
      <c r="AT3" s="13">
        <v>2022</v>
      </c>
      <c r="AU3" s="1">
        <v>2024</v>
      </c>
      <c r="AV3" s="1">
        <v>2023</v>
      </c>
      <c r="AW3" s="13">
        <v>2022</v>
      </c>
      <c r="AX3" s="1">
        <v>2024</v>
      </c>
      <c r="AY3" s="1">
        <v>2023</v>
      </c>
      <c r="AZ3" s="1">
        <v>2022</v>
      </c>
      <c r="BA3" s="13">
        <v>2021</v>
      </c>
      <c r="BB3" s="1">
        <v>2024</v>
      </c>
      <c r="BC3" s="1">
        <v>2023</v>
      </c>
      <c r="BD3" s="13">
        <v>2022</v>
      </c>
      <c r="BE3" s="1">
        <v>2024</v>
      </c>
      <c r="BF3" s="1">
        <v>2023</v>
      </c>
      <c r="BG3" s="13">
        <v>2022</v>
      </c>
      <c r="BH3" s="1"/>
      <c r="BI3" s="1"/>
      <c r="BJ3" s="1"/>
      <c r="BK3" s="13"/>
      <c r="BL3" s="1"/>
      <c r="BM3" s="1"/>
      <c r="BN3" s="13"/>
      <c r="BO3" s="1"/>
      <c r="BP3" s="1"/>
      <c r="BQ3" s="13"/>
      <c r="BR3" s="1"/>
      <c r="BS3" s="1"/>
      <c r="BT3" s="13"/>
      <c r="BU3" s="1"/>
      <c r="BV3" s="1"/>
      <c r="BW3" s="13"/>
      <c r="BX3" s="1"/>
      <c r="BY3" s="1"/>
      <c r="BZ3" s="13"/>
      <c r="CA3" s="1"/>
      <c r="CB3" s="1"/>
      <c r="CC3" s="13"/>
      <c r="CD3" s="1"/>
      <c r="CE3" s="1"/>
      <c r="CF3" s="13"/>
      <c r="CG3" s="1"/>
      <c r="CH3" s="1"/>
      <c r="CI3" s="13"/>
      <c r="CJ3" s="1"/>
      <c r="CK3" s="1"/>
      <c r="CL3" s="13"/>
      <c r="CM3" s="1"/>
      <c r="CN3" s="1"/>
      <c r="CO3" s="13"/>
    </row>
    <row r="4" spans="7:93" x14ac:dyDescent="0.55000000000000004">
      <c r="G4" t="s">
        <v>51</v>
      </c>
      <c r="K4" s="19">
        <f t="shared" ref="K4:M9" si="0">N4+Q4+T4+W4+Z4+AC4+AF4+AL4+AO4+AI4+AR4+AU4</f>
        <v>71457</v>
      </c>
      <c r="L4" s="19">
        <f t="shared" si="0"/>
        <v>92279</v>
      </c>
      <c r="M4" s="19">
        <f t="shared" si="0"/>
        <v>144688</v>
      </c>
      <c r="N4">
        <v>0</v>
      </c>
      <c r="O4">
        <v>0</v>
      </c>
      <c r="P4" s="12">
        <v>6636</v>
      </c>
      <c r="Q4">
        <v>11695</v>
      </c>
      <c r="R4">
        <v>11233</v>
      </c>
      <c r="S4" s="12">
        <v>29248</v>
      </c>
      <c r="T4" s="5">
        <v>75</v>
      </c>
      <c r="U4">
        <v>3996</v>
      </c>
      <c r="V4" s="12">
        <v>16441</v>
      </c>
      <c r="W4">
        <v>23813</v>
      </c>
      <c r="X4">
        <v>29614</v>
      </c>
      <c r="Y4" s="12">
        <v>35214</v>
      </c>
      <c r="Z4">
        <v>19418</v>
      </c>
      <c r="AA4">
        <v>26974</v>
      </c>
      <c r="AB4" s="12">
        <v>33593</v>
      </c>
      <c r="AC4">
        <v>0</v>
      </c>
      <c r="AD4">
        <v>0</v>
      </c>
      <c r="AE4" s="12">
        <v>2378</v>
      </c>
      <c r="AF4">
        <v>0</v>
      </c>
      <c r="AG4">
        <v>1551</v>
      </c>
      <c r="AH4" s="12">
        <v>0</v>
      </c>
      <c r="AI4">
        <v>4530</v>
      </c>
      <c r="AJ4">
        <v>4576</v>
      </c>
      <c r="AK4" s="12">
        <v>4702</v>
      </c>
      <c r="AL4">
        <v>1716</v>
      </c>
      <c r="AM4">
        <v>2858</v>
      </c>
      <c r="AN4" s="12">
        <v>3911</v>
      </c>
      <c r="AO4">
        <v>4556</v>
      </c>
      <c r="AP4">
        <v>4468</v>
      </c>
      <c r="AQ4" s="12">
        <v>4466</v>
      </c>
      <c r="AR4">
        <v>2075</v>
      </c>
      <c r="AS4">
        <v>2872</v>
      </c>
      <c r="AT4" s="12">
        <v>3004</v>
      </c>
      <c r="AU4">
        <v>3579</v>
      </c>
      <c r="AV4">
        <v>4137</v>
      </c>
      <c r="AW4" s="12">
        <v>5095</v>
      </c>
      <c r="BB4">
        <v>0</v>
      </c>
      <c r="BC4">
        <v>0</v>
      </c>
      <c r="BD4" s="12">
        <v>0</v>
      </c>
      <c r="BE4">
        <v>0</v>
      </c>
      <c r="BF4">
        <v>0</v>
      </c>
      <c r="BG4" s="12">
        <v>0</v>
      </c>
      <c r="BO4" s="12"/>
      <c r="BP4" s="12"/>
    </row>
    <row r="5" spans="7:93" x14ac:dyDescent="0.55000000000000004">
      <c r="G5" t="s">
        <v>3</v>
      </c>
      <c r="I5">
        <v>635144</v>
      </c>
      <c r="J5" s="12">
        <v>588053</v>
      </c>
      <c r="K5" s="19">
        <f t="shared" si="0"/>
        <v>882259</v>
      </c>
      <c r="L5" s="19">
        <f t="shared" si="0"/>
        <v>653446</v>
      </c>
      <c r="M5" s="19">
        <f t="shared" si="0"/>
        <v>607806</v>
      </c>
      <c r="N5">
        <v>50653</v>
      </c>
      <c r="O5">
        <v>37099</v>
      </c>
      <c r="P5" s="12">
        <v>36487</v>
      </c>
      <c r="Q5">
        <v>267285</v>
      </c>
      <c r="R5">
        <v>197145</v>
      </c>
      <c r="S5" s="16">
        <v>181712</v>
      </c>
      <c r="T5" s="6">
        <v>202674</v>
      </c>
      <c r="U5">
        <f>134216+22771</f>
        <v>156987</v>
      </c>
      <c r="V5" s="12">
        <f>126543+22771</f>
        <v>149314</v>
      </c>
      <c r="W5">
        <v>193775</v>
      </c>
      <c r="X5">
        <v>139846</v>
      </c>
      <c r="Y5" s="12">
        <v>126039</v>
      </c>
      <c r="Z5">
        <v>31587</v>
      </c>
      <c r="AA5">
        <v>22716</v>
      </c>
      <c r="AB5" s="12">
        <v>22855</v>
      </c>
      <c r="AC5">
        <v>49288</v>
      </c>
      <c r="AD5">
        <v>36321</v>
      </c>
      <c r="AE5" s="12">
        <v>32883</v>
      </c>
      <c r="AF5">
        <v>18603</v>
      </c>
      <c r="AG5">
        <v>13714</v>
      </c>
      <c r="AH5" s="12">
        <v>12492</v>
      </c>
      <c r="AI5">
        <v>22691</v>
      </c>
      <c r="AJ5">
        <v>16896</v>
      </c>
      <c r="AK5" s="12">
        <v>14999</v>
      </c>
      <c r="AL5">
        <v>28134</v>
      </c>
      <c r="AM5">
        <v>20074</v>
      </c>
      <c r="AN5" s="12">
        <v>18171</v>
      </c>
      <c r="AO5">
        <v>11242</v>
      </c>
      <c r="AP5">
        <v>8044</v>
      </c>
      <c r="AQ5" s="12">
        <v>7336</v>
      </c>
      <c r="AR5">
        <v>1475</v>
      </c>
      <c r="AS5">
        <v>876</v>
      </c>
      <c r="AT5" s="12">
        <v>1890</v>
      </c>
      <c r="AU5">
        <v>4852</v>
      </c>
      <c r="AV5">
        <v>3728</v>
      </c>
      <c r="AW5" s="12">
        <v>3628</v>
      </c>
      <c r="BB5">
        <v>1272</v>
      </c>
      <c r="BC5">
        <v>1260</v>
      </c>
      <c r="BD5" s="12">
        <v>1258</v>
      </c>
      <c r="BE5">
        <v>0</v>
      </c>
      <c r="BF5">
        <v>0</v>
      </c>
      <c r="BG5" s="12">
        <v>0</v>
      </c>
      <c r="BO5" s="12"/>
      <c r="BP5" s="12"/>
      <c r="CL5"/>
    </row>
    <row r="6" spans="7:93" x14ac:dyDescent="0.55000000000000004">
      <c r="G6" t="s">
        <v>52</v>
      </c>
      <c r="I6">
        <v>120242</v>
      </c>
      <c r="J6" s="12">
        <v>120237</v>
      </c>
      <c r="K6" s="19">
        <f t="shared" si="0"/>
        <v>29951</v>
      </c>
      <c r="L6" s="19">
        <f t="shared" si="0"/>
        <v>75543</v>
      </c>
      <c r="M6" s="19">
        <f t="shared" si="0"/>
        <v>86023</v>
      </c>
      <c r="N6">
        <f>8925-1266-7944</f>
        <v>-285</v>
      </c>
      <c r="O6">
        <f>8948-1266</f>
        <v>7682</v>
      </c>
      <c r="P6" s="12">
        <v>8880</v>
      </c>
      <c r="Q6">
        <f>2500-19153</f>
        <v>-16653</v>
      </c>
      <c r="R6">
        <v>3161</v>
      </c>
      <c r="S6" s="17">
        <v>5541</v>
      </c>
      <c r="T6" s="8">
        <f>7737-7734</f>
        <v>3</v>
      </c>
      <c r="U6">
        <v>8932</v>
      </c>
      <c r="V6" s="12">
        <v>8932</v>
      </c>
      <c r="W6">
        <v>26304</v>
      </c>
      <c r="X6">
        <v>26304</v>
      </c>
      <c r="Y6" s="12">
        <v>26304</v>
      </c>
      <c r="Z6">
        <v>1882</v>
      </c>
      <c r="AA6">
        <v>1882</v>
      </c>
      <c r="AB6" s="12">
        <v>1882</v>
      </c>
      <c r="AC6">
        <f>7434-3194</f>
        <v>4240</v>
      </c>
      <c r="AD6">
        <f>8483-1139</f>
        <v>7344</v>
      </c>
      <c r="AE6" s="12">
        <v>8483</v>
      </c>
      <c r="AF6">
        <f>3472-3679</f>
        <v>-207</v>
      </c>
      <c r="AG6">
        <f>6837-3370</f>
        <v>3467</v>
      </c>
      <c r="AH6" s="12">
        <f>7410-580</f>
        <v>6830</v>
      </c>
      <c r="AI6">
        <f>4147-4184</f>
        <v>-37</v>
      </c>
      <c r="AJ6">
        <f>4138-2062</f>
        <v>2076</v>
      </c>
      <c r="AK6" s="12">
        <v>4276</v>
      </c>
      <c r="AL6">
        <v>1947</v>
      </c>
      <c r="AM6">
        <v>2005</v>
      </c>
      <c r="AN6" s="12">
        <f>1980+297</f>
        <v>2277</v>
      </c>
      <c r="AO6">
        <v>3545</v>
      </c>
      <c r="AP6">
        <v>3545</v>
      </c>
      <c r="AQ6" s="12">
        <v>3459</v>
      </c>
      <c r="AR6">
        <v>6271</v>
      </c>
      <c r="AS6">
        <v>6204</v>
      </c>
      <c r="AT6" s="12">
        <v>6218</v>
      </c>
      <c r="AU6">
        <v>2941</v>
      </c>
      <c r="AV6">
        <v>2941</v>
      </c>
      <c r="AW6" s="12">
        <v>2941</v>
      </c>
      <c r="AX6">
        <v>143313</v>
      </c>
      <c r="AY6">
        <v>62584</v>
      </c>
      <c r="AZ6">
        <v>65768</v>
      </c>
      <c r="BA6" s="12">
        <v>204249</v>
      </c>
      <c r="BB6">
        <f>1234+2902-44549</f>
        <v>-40413</v>
      </c>
      <c r="BC6">
        <f>1224+2940-846</f>
        <v>3318</v>
      </c>
      <c r="BD6" s="12">
        <f>1215+3304</f>
        <v>4519</v>
      </c>
      <c r="BE6">
        <f>48322-215955</f>
        <v>-167633</v>
      </c>
      <c r="BF6">
        <f>51379-133318</f>
        <v>-81939</v>
      </c>
      <c r="BG6" s="12">
        <f>41799-16585</f>
        <v>25214</v>
      </c>
      <c r="CF6"/>
      <c r="CI6"/>
      <c r="CL6"/>
    </row>
    <row r="7" spans="7:93" x14ac:dyDescent="0.55000000000000004">
      <c r="G7" t="s">
        <v>4</v>
      </c>
      <c r="K7" s="19">
        <f t="shared" si="0"/>
        <v>-3585028</v>
      </c>
      <c r="L7" s="19">
        <f t="shared" si="0"/>
        <v>-3919388</v>
      </c>
      <c r="M7" s="19">
        <f t="shared" si="0"/>
        <v>-4114349</v>
      </c>
      <c r="N7">
        <v>-376781</v>
      </c>
      <c r="O7">
        <v>-425349</v>
      </c>
      <c r="P7" s="12">
        <v>-457271</v>
      </c>
      <c r="Q7">
        <v>-910918</v>
      </c>
      <c r="R7">
        <v>-1009071</v>
      </c>
      <c r="S7" s="18">
        <v>-1072976</v>
      </c>
      <c r="T7" s="6">
        <v>-310356</v>
      </c>
      <c r="U7">
        <v>-317311</v>
      </c>
      <c r="V7" s="12">
        <v>-319040</v>
      </c>
      <c r="W7">
        <v>-590627</v>
      </c>
      <c r="X7">
        <v>-656798</v>
      </c>
      <c r="Y7" s="12">
        <v>-696150</v>
      </c>
      <c r="Z7">
        <v>-566412</v>
      </c>
      <c r="AA7">
        <v>-605546</v>
      </c>
      <c r="AB7" s="12">
        <v>-623962</v>
      </c>
      <c r="AC7">
        <v>-180313</v>
      </c>
      <c r="AD7">
        <v>-201531</v>
      </c>
      <c r="AE7" s="12">
        <v>-209285</v>
      </c>
      <c r="AF7">
        <v>-202272</v>
      </c>
      <c r="AG7">
        <v>-221118</v>
      </c>
      <c r="AH7" s="12">
        <v>-229355</v>
      </c>
      <c r="AI7">
        <v>-100303</v>
      </c>
      <c r="AJ7">
        <v>-108868</v>
      </c>
      <c r="AK7" s="12">
        <v>-113426</v>
      </c>
      <c r="AL7">
        <v>-75028</v>
      </c>
      <c r="AM7">
        <v>-80508</v>
      </c>
      <c r="AN7" s="12">
        <v>-85992</v>
      </c>
      <c r="AO7">
        <v>-133445</v>
      </c>
      <c r="AP7">
        <v>-143172</v>
      </c>
      <c r="AQ7" s="12">
        <v>-148155</v>
      </c>
      <c r="AR7">
        <v>-56318</v>
      </c>
      <c r="AS7">
        <v>-60016</v>
      </c>
      <c r="AT7" s="12">
        <v>-62991</v>
      </c>
      <c r="AU7">
        <v>-82255</v>
      </c>
      <c r="AV7">
        <v>-90100</v>
      </c>
      <c r="AW7" s="12">
        <v>-95746</v>
      </c>
      <c r="BB7">
        <v>-747409</v>
      </c>
      <c r="BC7">
        <v>-846233</v>
      </c>
      <c r="BD7" s="12">
        <v>-895266</v>
      </c>
      <c r="BE7">
        <v>-6752691</v>
      </c>
      <c r="BF7">
        <v>-7472220</v>
      </c>
      <c r="BG7" s="12">
        <v>-8429414</v>
      </c>
    </row>
    <row r="8" spans="7:93" x14ac:dyDescent="0.55000000000000004">
      <c r="G8" t="s">
        <v>5</v>
      </c>
      <c r="K8" s="19">
        <f t="shared" si="0"/>
        <v>3250852</v>
      </c>
      <c r="L8" s="19">
        <f t="shared" si="0"/>
        <v>3536041</v>
      </c>
      <c r="M8" s="19">
        <f t="shared" si="0"/>
        <v>3560973</v>
      </c>
      <c r="N8">
        <v>341714</v>
      </c>
      <c r="O8">
        <v>385489</v>
      </c>
      <c r="P8" s="12">
        <f>397957</f>
        <v>397957</v>
      </c>
      <c r="Q8">
        <v>824213</v>
      </c>
      <c r="R8">
        <v>912867</v>
      </c>
      <c r="S8" s="12">
        <v>934250</v>
      </c>
      <c r="T8" s="7">
        <v>267454</v>
      </c>
      <c r="U8">
        <v>274117</v>
      </c>
      <c r="V8" s="12">
        <v>261481</v>
      </c>
      <c r="W8">
        <v>558406</v>
      </c>
      <c r="X8">
        <v>609140</v>
      </c>
      <c r="Y8" s="12">
        <v>611349</v>
      </c>
      <c r="Z8">
        <v>514673</v>
      </c>
      <c r="AA8">
        <v>544080</v>
      </c>
      <c r="AB8" s="12">
        <v>550679</v>
      </c>
      <c r="AC8">
        <v>158294</v>
      </c>
      <c r="AD8">
        <v>178031</v>
      </c>
      <c r="AE8" s="12">
        <v>177067</v>
      </c>
      <c r="AF8">
        <v>185315</v>
      </c>
      <c r="AG8">
        <v>202058</v>
      </c>
      <c r="AH8" s="12">
        <v>198484</v>
      </c>
      <c r="AI8">
        <v>88571</v>
      </c>
      <c r="AJ8">
        <v>95622</v>
      </c>
      <c r="AK8" s="12">
        <v>95367</v>
      </c>
      <c r="AL8">
        <v>69930</v>
      </c>
      <c r="AM8">
        <v>74510</v>
      </c>
      <c r="AN8" s="12">
        <v>75711</v>
      </c>
      <c r="AO8" s="2">
        <v>118026</v>
      </c>
      <c r="AP8">
        <v>125932</v>
      </c>
      <c r="AQ8" s="12">
        <v>123197</v>
      </c>
      <c r="AR8">
        <v>50197</v>
      </c>
      <c r="AS8">
        <v>53665</v>
      </c>
      <c r="AT8" s="12">
        <v>53342</v>
      </c>
      <c r="AU8">
        <v>74059</v>
      </c>
      <c r="AV8">
        <v>80530</v>
      </c>
      <c r="AW8" s="12">
        <v>82089</v>
      </c>
      <c r="BB8">
        <f>553039+15687</f>
        <v>568726</v>
      </c>
      <c r="BC8">
        <f>637272+17806</f>
        <v>655078</v>
      </c>
      <c r="BD8" s="12">
        <f>866176+6261</f>
        <v>872437</v>
      </c>
      <c r="BE8">
        <v>5688964</v>
      </c>
      <c r="BF8">
        <v>6523777</v>
      </c>
      <c r="BG8" s="12">
        <v>7349060</v>
      </c>
    </row>
    <row r="9" spans="7:93" s="3" customFormat="1" x14ac:dyDescent="0.55000000000000004">
      <c r="G9" s="3" t="s">
        <v>18</v>
      </c>
      <c r="J9" s="14"/>
      <c r="K9" s="20">
        <f t="shared" si="0"/>
        <v>649491</v>
      </c>
      <c r="L9" s="20">
        <f t="shared" si="0"/>
        <v>437921</v>
      </c>
      <c r="M9" s="20">
        <f t="shared" si="0"/>
        <v>285141</v>
      </c>
      <c r="N9" s="3">
        <f t="shared" ref="N9:S9" si="1">SUM(N4:N8)</f>
        <v>15301</v>
      </c>
      <c r="O9" s="3">
        <f t="shared" si="1"/>
        <v>4921</v>
      </c>
      <c r="P9" s="14">
        <f t="shared" si="1"/>
        <v>-7311</v>
      </c>
      <c r="Q9" s="3">
        <f t="shared" si="1"/>
        <v>175622</v>
      </c>
      <c r="R9" s="3">
        <f t="shared" si="1"/>
        <v>115335</v>
      </c>
      <c r="S9" s="14">
        <f t="shared" si="1"/>
        <v>77775</v>
      </c>
      <c r="T9" s="3">
        <f t="shared" ref="T9:AH9" si="2">SUM(T4:T8)</f>
        <v>159850</v>
      </c>
      <c r="U9" s="3">
        <f t="shared" si="2"/>
        <v>126721</v>
      </c>
      <c r="V9" s="14">
        <f t="shared" si="2"/>
        <v>117128</v>
      </c>
      <c r="W9" s="3">
        <f t="shared" si="2"/>
        <v>211671</v>
      </c>
      <c r="X9" s="3">
        <f t="shared" si="2"/>
        <v>148106</v>
      </c>
      <c r="Y9" s="14">
        <f t="shared" si="2"/>
        <v>102756</v>
      </c>
      <c r="Z9" s="3">
        <f t="shared" si="2"/>
        <v>1148</v>
      </c>
      <c r="AA9" s="3">
        <f t="shared" si="2"/>
        <v>-9894</v>
      </c>
      <c r="AB9" s="14">
        <f t="shared" si="2"/>
        <v>-14953</v>
      </c>
      <c r="AC9" s="3">
        <f t="shared" si="2"/>
        <v>31509</v>
      </c>
      <c r="AD9" s="3">
        <f t="shared" si="2"/>
        <v>20165</v>
      </c>
      <c r="AE9" s="14">
        <f t="shared" si="2"/>
        <v>11526</v>
      </c>
      <c r="AF9" s="3">
        <f t="shared" si="2"/>
        <v>1439</v>
      </c>
      <c r="AG9" s="3">
        <f t="shared" si="2"/>
        <v>-328</v>
      </c>
      <c r="AH9" s="14">
        <f t="shared" si="2"/>
        <v>-11549</v>
      </c>
      <c r="AI9" s="3">
        <f t="shared" ref="AI9:AK9" si="3">SUM(AI4:AI8)</f>
        <v>15452</v>
      </c>
      <c r="AJ9" s="3">
        <f t="shared" si="3"/>
        <v>10302</v>
      </c>
      <c r="AK9" s="14">
        <f t="shared" si="3"/>
        <v>5918</v>
      </c>
      <c r="AL9" s="3">
        <f t="shared" ref="AL9:AW9" si="4">SUM(AL4:AL8)</f>
        <v>26699</v>
      </c>
      <c r="AM9" s="3">
        <f t="shared" si="4"/>
        <v>18939</v>
      </c>
      <c r="AN9" s="14">
        <f t="shared" si="4"/>
        <v>14078</v>
      </c>
      <c r="AO9" s="25">
        <f t="shared" si="4"/>
        <v>3924</v>
      </c>
      <c r="AP9" s="3">
        <f t="shared" si="4"/>
        <v>-1183</v>
      </c>
      <c r="AQ9" s="14">
        <f t="shared" si="4"/>
        <v>-9697</v>
      </c>
      <c r="AR9" s="3">
        <f t="shared" si="4"/>
        <v>3700</v>
      </c>
      <c r="AS9" s="3">
        <f t="shared" si="4"/>
        <v>3601</v>
      </c>
      <c r="AT9" s="14">
        <f t="shared" si="4"/>
        <v>1463</v>
      </c>
      <c r="AU9" s="3">
        <f t="shared" si="4"/>
        <v>3176</v>
      </c>
      <c r="AV9" s="3">
        <f t="shared" si="4"/>
        <v>1236</v>
      </c>
      <c r="AW9" s="14">
        <f t="shared" si="4"/>
        <v>-1993</v>
      </c>
      <c r="AX9" s="3">
        <f t="shared" ref="AX9:BA9" si="5">SUM(AX4:AX8)</f>
        <v>143313</v>
      </c>
      <c r="AY9" s="3">
        <f t="shared" si="5"/>
        <v>62584</v>
      </c>
      <c r="AZ9" s="3">
        <f t="shared" si="5"/>
        <v>65768</v>
      </c>
      <c r="BA9" s="3">
        <f t="shared" si="5"/>
        <v>204249</v>
      </c>
      <c r="BB9" s="3">
        <f t="shared" ref="BB9:BG9" si="6">SUM(BB4:BB8)</f>
        <v>-217824</v>
      </c>
      <c r="BC9" s="3">
        <f t="shared" si="6"/>
        <v>-186577</v>
      </c>
      <c r="BD9" s="14">
        <f t="shared" si="6"/>
        <v>-17052</v>
      </c>
      <c r="BE9" s="3">
        <f t="shared" si="6"/>
        <v>-1231360</v>
      </c>
      <c r="BF9" s="3">
        <f t="shared" si="6"/>
        <v>-1030382</v>
      </c>
      <c r="BG9" s="14">
        <f t="shared" si="6"/>
        <v>-1055140</v>
      </c>
      <c r="BH9" s="14"/>
      <c r="BK9" s="14"/>
      <c r="BM9" s="14"/>
      <c r="BN9" s="14"/>
      <c r="BO9" s="14"/>
      <c r="BP9" s="14"/>
      <c r="BQ9" s="14"/>
      <c r="BR9" s="14"/>
      <c r="BS9" s="14"/>
      <c r="BT9" s="14"/>
      <c r="BW9" s="14"/>
      <c r="BX9" s="14"/>
      <c r="BY9" s="14"/>
      <c r="BZ9" s="14"/>
      <c r="CA9" s="14"/>
      <c r="CB9" s="14"/>
      <c r="CC9" s="14"/>
      <c r="CD9" s="13"/>
      <c r="CE9" s="13"/>
      <c r="CF9" s="13"/>
      <c r="CG9" s="13"/>
      <c r="CH9" s="13"/>
      <c r="CI9" s="13"/>
      <c r="CJ9" s="14"/>
      <c r="CK9" s="14"/>
      <c r="CL9" s="14"/>
      <c r="CO9" s="14"/>
    </row>
    <row r="10" spans="7:93" s="3" customFormat="1" x14ac:dyDescent="0.55000000000000004">
      <c r="J10" s="14"/>
      <c r="M10" s="14"/>
      <c r="P10" s="14"/>
      <c r="S10" s="14"/>
      <c r="V10" s="14"/>
      <c r="Y10" s="14"/>
      <c r="AB10" s="14"/>
      <c r="AE10" s="14"/>
      <c r="AH10" s="14"/>
      <c r="AK10" s="14"/>
      <c r="AN10" s="14"/>
      <c r="AQ10" s="14"/>
      <c r="AT10" s="14"/>
      <c r="AW10" s="14"/>
      <c r="BA10" s="14"/>
      <c r="BD10" s="14"/>
      <c r="BG10" s="14"/>
      <c r="BK10" s="14"/>
      <c r="BM10" s="14"/>
      <c r="BN10" s="14"/>
      <c r="BO10" s="14"/>
      <c r="BP10" s="14"/>
      <c r="BQ10" s="14"/>
      <c r="BR10" s="14"/>
      <c r="BS10" s="14"/>
      <c r="BT10" s="14"/>
      <c r="BW10" s="14"/>
      <c r="BZ10" s="14"/>
      <c r="CC10" s="14"/>
      <c r="CO10" s="14"/>
    </row>
    <row r="11" spans="7:93" x14ac:dyDescent="0.55000000000000004">
      <c r="G11" t="s">
        <v>46</v>
      </c>
      <c r="K11" s="19">
        <f>N11+Q11+T11+W11+Z11+AC11+AF11+AL11+AO11+AI11+AR11+AU11</f>
        <v>-334176</v>
      </c>
      <c r="L11" s="19">
        <f>O11+R11+U11+X11+AA11+AD11+AG11+AM11+AP11+AJ11+AS11+AV11</f>
        <v>-383347</v>
      </c>
      <c r="M11" s="19">
        <f>P11+S11+V11+Y11+AB11+AE11+AH11+AN11+AQ11+AK11+AT11+AW11</f>
        <v>-553376</v>
      </c>
      <c r="N11">
        <f t="shared" ref="N11:S11" si="7">N7+N8</f>
        <v>-35067</v>
      </c>
      <c r="O11">
        <f t="shared" si="7"/>
        <v>-39860</v>
      </c>
      <c r="P11" s="12">
        <f t="shared" si="7"/>
        <v>-59314</v>
      </c>
      <c r="Q11">
        <f t="shared" si="7"/>
        <v>-86705</v>
      </c>
      <c r="R11">
        <f t="shared" si="7"/>
        <v>-96204</v>
      </c>
      <c r="S11" s="12">
        <f t="shared" si="7"/>
        <v>-138726</v>
      </c>
      <c r="T11">
        <f t="shared" ref="T11:AH11" si="8">T7+T8</f>
        <v>-42902</v>
      </c>
      <c r="U11">
        <f t="shared" si="8"/>
        <v>-43194</v>
      </c>
      <c r="V11" s="12">
        <f t="shared" si="8"/>
        <v>-57559</v>
      </c>
      <c r="W11">
        <f t="shared" si="8"/>
        <v>-32221</v>
      </c>
      <c r="X11">
        <f t="shared" si="8"/>
        <v>-47658</v>
      </c>
      <c r="Y11" s="12">
        <f t="shared" si="8"/>
        <v>-84801</v>
      </c>
      <c r="Z11">
        <f t="shared" si="8"/>
        <v>-51739</v>
      </c>
      <c r="AA11">
        <f t="shared" si="8"/>
        <v>-61466</v>
      </c>
      <c r="AB11" s="12">
        <f t="shared" si="8"/>
        <v>-73283</v>
      </c>
      <c r="AC11">
        <f t="shared" si="8"/>
        <v>-22019</v>
      </c>
      <c r="AD11">
        <f t="shared" si="8"/>
        <v>-23500</v>
      </c>
      <c r="AE11" s="12">
        <f t="shared" si="8"/>
        <v>-32218</v>
      </c>
      <c r="AF11">
        <f t="shared" si="8"/>
        <v>-16957</v>
      </c>
      <c r="AG11">
        <f t="shared" si="8"/>
        <v>-19060</v>
      </c>
      <c r="AH11" s="12">
        <f t="shared" si="8"/>
        <v>-30871</v>
      </c>
      <c r="AI11">
        <f t="shared" ref="AI11:AJ11" si="9">AI7+AI8</f>
        <v>-11732</v>
      </c>
      <c r="AJ11">
        <f t="shared" si="9"/>
        <v>-13246</v>
      </c>
      <c r="AK11" s="12">
        <f t="shared" ref="AK11" si="10">AK7+AK8</f>
        <v>-18059</v>
      </c>
      <c r="AL11">
        <f t="shared" ref="AL11:AW11" si="11">AL7+AL8</f>
        <v>-5098</v>
      </c>
      <c r="AM11">
        <f t="shared" si="11"/>
        <v>-5998</v>
      </c>
      <c r="AN11" s="12">
        <f t="shared" si="11"/>
        <v>-10281</v>
      </c>
      <c r="AO11">
        <f t="shared" si="11"/>
        <v>-15419</v>
      </c>
      <c r="AP11">
        <f t="shared" si="11"/>
        <v>-17240</v>
      </c>
      <c r="AQ11" s="12">
        <f t="shared" si="11"/>
        <v>-24958</v>
      </c>
      <c r="AR11">
        <f t="shared" si="11"/>
        <v>-6121</v>
      </c>
      <c r="AS11">
        <f t="shared" si="11"/>
        <v>-6351</v>
      </c>
      <c r="AT11" s="12">
        <f t="shared" si="11"/>
        <v>-9649</v>
      </c>
      <c r="AU11">
        <f t="shared" si="11"/>
        <v>-8196</v>
      </c>
      <c r="AV11">
        <f t="shared" si="11"/>
        <v>-9570</v>
      </c>
      <c r="AW11" s="12">
        <f t="shared" si="11"/>
        <v>-13657</v>
      </c>
      <c r="BB11">
        <v>178628</v>
      </c>
      <c r="BC11">
        <v>191113</v>
      </c>
      <c r="BD11" s="12">
        <v>22829</v>
      </c>
      <c r="BE11">
        <f t="shared" ref="BE11:BG11" si="12">BE7+BE8</f>
        <v>-1063727</v>
      </c>
      <c r="BF11">
        <f t="shared" si="12"/>
        <v>-948443</v>
      </c>
      <c r="BG11" s="12">
        <f t="shared" si="12"/>
        <v>-1080354</v>
      </c>
      <c r="BM11" s="12"/>
      <c r="BO11" s="12"/>
      <c r="BP11" s="12"/>
      <c r="BR11" s="12"/>
      <c r="BS11" s="12"/>
    </row>
    <row r="12" spans="7:93" x14ac:dyDescent="0.55000000000000004">
      <c r="T12" s="7"/>
    </row>
    <row r="13" spans="7:93" x14ac:dyDescent="0.55000000000000004">
      <c r="G13" t="s">
        <v>57</v>
      </c>
      <c r="H13">
        <v>6428</v>
      </c>
      <c r="I13">
        <v>6935</v>
      </c>
      <c r="J13" s="12">
        <v>7951</v>
      </c>
      <c r="K13" s="19">
        <f t="shared" ref="K13:M16" si="13">N13+Q13+T13+W13+Z13+AC13+AF13+AL13+AO13+AI13+AR13+AU13</f>
        <v>8233</v>
      </c>
      <c r="L13" s="19">
        <f t="shared" si="13"/>
        <v>8692</v>
      </c>
      <c r="M13" s="19">
        <f t="shared" si="13"/>
        <v>9939</v>
      </c>
      <c r="N13">
        <v>641</v>
      </c>
      <c r="O13">
        <v>674</v>
      </c>
      <c r="P13" s="12">
        <v>699</v>
      </c>
      <c r="Q13">
        <v>2373</v>
      </c>
      <c r="R13">
        <v>2516</v>
      </c>
      <c r="S13" s="12">
        <v>2904</v>
      </c>
      <c r="T13" s="7">
        <v>1516</v>
      </c>
      <c r="U13">
        <v>1597</v>
      </c>
      <c r="V13" s="12">
        <v>1884</v>
      </c>
      <c r="W13">
        <v>1104</v>
      </c>
      <c r="X13">
        <v>1253</v>
      </c>
      <c r="Y13" s="12">
        <v>1477</v>
      </c>
      <c r="Z13">
        <v>917</v>
      </c>
      <c r="AA13">
        <v>951</v>
      </c>
      <c r="AB13" s="12">
        <v>1066</v>
      </c>
      <c r="AC13">
        <v>394</v>
      </c>
      <c r="AD13">
        <v>394</v>
      </c>
      <c r="AE13" s="12">
        <v>488</v>
      </c>
      <c r="AF13">
        <v>331</v>
      </c>
      <c r="AG13">
        <v>286</v>
      </c>
      <c r="AH13" s="12">
        <v>339</v>
      </c>
      <c r="AI13">
        <v>237</v>
      </c>
      <c r="AJ13">
        <v>247</v>
      </c>
      <c r="AK13" s="12">
        <v>261</v>
      </c>
      <c r="AL13">
        <v>192</v>
      </c>
      <c r="AM13">
        <v>185</v>
      </c>
      <c r="AN13" s="12">
        <v>198</v>
      </c>
      <c r="AO13">
        <v>219</v>
      </c>
      <c r="AP13">
        <v>226</v>
      </c>
      <c r="AQ13" s="12">
        <v>238</v>
      </c>
      <c r="AR13">
        <v>179</v>
      </c>
      <c r="AS13">
        <v>185</v>
      </c>
      <c r="AT13" s="12">
        <v>195</v>
      </c>
      <c r="AU13">
        <v>130</v>
      </c>
      <c r="AV13">
        <v>178</v>
      </c>
      <c r="AW13" s="12">
        <v>190</v>
      </c>
      <c r="AX13">
        <v>854</v>
      </c>
      <c r="AY13">
        <v>795</v>
      </c>
      <c r="AZ13">
        <v>881</v>
      </c>
      <c r="BA13" s="12">
        <v>1057</v>
      </c>
      <c r="BB13">
        <v>943</v>
      </c>
      <c r="BC13">
        <f>1074</f>
        <v>1074</v>
      </c>
      <c r="BD13" s="12">
        <f>1130</f>
        <v>1130</v>
      </c>
      <c r="BE13">
        <v>7069</v>
      </c>
      <c r="BF13">
        <v>7836</v>
      </c>
      <c r="BG13" s="12">
        <v>8569</v>
      </c>
      <c r="CF13"/>
      <c r="CI13"/>
    </row>
    <row r="14" spans="7:93" x14ac:dyDescent="0.55000000000000004">
      <c r="G14" t="s">
        <v>45</v>
      </c>
      <c r="K14" s="9">
        <f>K6/(10*K13)</f>
        <v>0.36379205635855705</v>
      </c>
      <c r="L14" s="23">
        <f>L6/(10*L13)</f>
        <v>0.8691095260009204</v>
      </c>
      <c r="M14" s="23">
        <f t="shared" ref="M14" si="14">M6/(10*M13)</f>
        <v>0.86550960861253645</v>
      </c>
      <c r="N14" s="9">
        <f>N6/(10*N13)</f>
        <v>-4.4461778471138844E-2</v>
      </c>
      <c r="O14" s="23">
        <f>O6/(10*O13)</f>
        <v>1.1397626112759645</v>
      </c>
      <c r="P14" s="23">
        <f t="shared" ref="P14:BG14" si="15">P6/(10*P13)</f>
        <v>1.2703862660944205</v>
      </c>
      <c r="Q14" s="23">
        <f t="shared" si="15"/>
        <v>-0.7017699115044248</v>
      </c>
      <c r="R14" s="23">
        <f t="shared" si="15"/>
        <v>0.12563593004769474</v>
      </c>
      <c r="S14" s="23">
        <f t="shared" si="15"/>
        <v>0.19080578512396695</v>
      </c>
      <c r="T14" s="23">
        <f t="shared" si="15"/>
        <v>1.9788918205804749E-4</v>
      </c>
      <c r="U14" s="23">
        <f t="shared" si="15"/>
        <v>0.55929868503443958</v>
      </c>
      <c r="V14" s="23">
        <f t="shared" si="15"/>
        <v>0.47409766454352442</v>
      </c>
      <c r="W14" s="23">
        <f t="shared" si="15"/>
        <v>2.3826086956521739</v>
      </c>
      <c r="X14" s="23">
        <f t="shared" si="15"/>
        <v>2.0992817238627293</v>
      </c>
      <c r="Y14" s="23">
        <f t="shared" si="15"/>
        <v>1.7809072444143534</v>
      </c>
      <c r="Z14" s="23">
        <f t="shared" si="15"/>
        <v>0.20523446019629227</v>
      </c>
      <c r="AA14" s="23">
        <f t="shared" si="15"/>
        <v>0.19789695057833859</v>
      </c>
      <c r="AB14" s="23">
        <f t="shared" si="15"/>
        <v>0.17654784240150093</v>
      </c>
      <c r="AC14" s="23">
        <f t="shared" si="15"/>
        <v>1.0761421319796953</v>
      </c>
      <c r="AD14" s="23">
        <f t="shared" si="15"/>
        <v>1.8639593908629442</v>
      </c>
      <c r="AE14" s="23">
        <f t="shared" si="15"/>
        <v>1.7383196721311476</v>
      </c>
      <c r="AF14" s="23">
        <f t="shared" si="15"/>
        <v>-6.2537764350453176E-2</v>
      </c>
      <c r="AG14" s="23">
        <f t="shared" si="15"/>
        <v>1.2122377622377623</v>
      </c>
      <c r="AH14" s="23">
        <f t="shared" si="15"/>
        <v>2.0147492625368733</v>
      </c>
      <c r="AI14" s="23">
        <f t="shared" si="15"/>
        <v>-1.5611814345991562E-2</v>
      </c>
      <c r="AJ14" s="23">
        <f t="shared" si="15"/>
        <v>0.84048582995951415</v>
      </c>
      <c r="AK14" s="23">
        <f t="shared" si="15"/>
        <v>1.6383141762452107</v>
      </c>
      <c r="AL14" s="23">
        <f t="shared" si="15"/>
        <v>1.0140625000000001</v>
      </c>
      <c r="AM14" s="23">
        <f t="shared" si="15"/>
        <v>1.0837837837837838</v>
      </c>
      <c r="AN14" s="23">
        <f t="shared" si="15"/>
        <v>1.1499999999999999</v>
      </c>
      <c r="AO14" s="23">
        <f t="shared" si="15"/>
        <v>1.6187214611872147</v>
      </c>
      <c r="AP14" s="23">
        <f t="shared" si="15"/>
        <v>1.5685840707964602</v>
      </c>
      <c r="AQ14" s="23">
        <f t="shared" si="15"/>
        <v>1.4533613445378151</v>
      </c>
      <c r="AR14" s="23">
        <f t="shared" si="15"/>
        <v>3.5033519553072625</v>
      </c>
      <c r="AS14" s="23">
        <f t="shared" si="15"/>
        <v>3.3535135135135135</v>
      </c>
      <c r="AT14" s="23">
        <f t="shared" si="15"/>
        <v>3.1887179487179487</v>
      </c>
      <c r="AU14" s="23">
        <f t="shared" si="15"/>
        <v>2.2623076923076924</v>
      </c>
      <c r="AV14" s="23">
        <f t="shared" si="15"/>
        <v>1.652247191011236</v>
      </c>
      <c r="AW14" s="23">
        <f t="shared" si="15"/>
        <v>1.5478947368421052</v>
      </c>
      <c r="AX14" s="23">
        <f t="shared" si="15"/>
        <v>16.781381733021078</v>
      </c>
      <c r="AY14" s="23">
        <f t="shared" si="15"/>
        <v>7.8722012578616356</v>
      </c>
      <c r="AZ14" s="23">
        <f t="shared" si="15"/>
        <v>7.4651532349602725</v>
      </c>
      <c r="BA14" s="23">
        <f t="shared" si="15"/>
        <v>19.323462630085146</v>
      </c>
      <c r="BB14" s="23">
        <f t="shared" si="15"/>
        <v>-4.2855779427359488</v>
      </c>
      <c r="BC14" s="23">
        <f t="shared" si="15"/>
        <v>0.3089385474860335</v>
      </c>
      <c r="BD14" s="23">
        <f t="shared" si="15"/>
        <v>0.39991150442477874</v>
      </c>
      <c r="BE14" s="23">
        <f t="shared" si="15"/>
        <v>-2.3713820908190693</v>
      </c>
      <c r="BF14" s="23">
        <f t="shared" si="15"/>
        <v>-1.0456738131699848</v>
      </c>
      <c r="BG14" s="23">
        <f t="shared" si="15"/>
        <v>0.29424670323258256</v>
      </c>
      <c r="BH14" s="23"/>
      <c r="BI14" s="23"/>
      <c r="BJ14" s="23"/>
      <c r="BK14" s="24"/>
      <c r="BM14" s="24"/>
      <c r="BN14" s="24"/>
      <c r="BO14" s="24"/>
      <c r="BP14" s="24"/>
      <c r="BQ14" s="24"/>
      <c r="BR14" s="24"/>
      <c r="BS14" s="24"/>
      <c r="BT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M14" s="24"/>
      <c r="CN14" s="24"/>
    </row>
    <row r="15" spans="7:93" s="28" customFormat="1" x14ac:dyDescent="0.55000000000000004">
      <c r="G15" s="28" t="s">
        <v>19</v>
      </c>
      <c r="J15" s="29"/>
      <c r="K15" s="30">
        <f t="shared" ref="K15:M15" si="16">K9/(10*K13)</f>
        <v>7.8888740434835416</v>
      </c>
      <c r="L15" s="30">
        <f t="shared" si="16"/>
        <v>5.0382075471698116</v>
      </c>
      <c r="M15" s="31">
        <f t="shared" si="16"/>
        <v>2.868910353154241</v>
      </c>
      <c r="N15" s="30">
        <f t="shared" ref="N15:P15" si="17">N9/(10*N13)</f>
        <v>2.3870514820592823</v>
      </c>
      <c r="O15" s="30">
        <f t="shared" si="17"/>
        <v>0.73011869436201782</v>
      </c>
      <c r="P15" s="31">
        <f t="shared" si="17"/>
        <v>-1.0459227467811159</v>
      </c>
      <c r="Q15" s="30">
        <f>Q9/(10*Q13)</f>
        <v>7.4008428150021066</v>
      </c>
      <c r="R15" s="30">
        <f>R9/(10*R13)</f>
        <v>4.5840620031796506</v>
      </c>
      <c r="S15" s="31">
        <f t="shared" ref="S15" si="18">S9/(10*S13)</f>
        <v>2.678202479338843</v>
      </c>
      <c r="T15" s="30">
        <f t="shared" ref="T15" si="19">T9/(10*T13)</f>
        <v>10.54419525065963</v>
      </c>
      <c r="U15" s="30">
        <f t="shared" ref="U15:W15" si="20">U9/(10*U13)</f>
        <v>7.9349405134627427</v>
      </c>
      <c r="V15" s="31">
        <f t="shared" si="20"/>
        <v>6.2169851380042465</v>
      </c>
      <c r="W15" s="30">
        <f t="shared" si="20"/>
        <v>19.173097826086956</v>
      </c>
      <c r="X15" s="30">
        <f t="shared" ref="X15:Z15" si="21">X9/(10*X13)</f>
        <v>11.820111731843575</v>
      </c>
      <c r="Y15" s="31">
        <f t="shared" si="21"/>
        <v>6.9570751523358156</v>
      </c>
      <c r="Z15" s="30">
        <f t="shared" si="21"/>
        <v>0.1251908396946565</v>
      </c>
      <c r="AA15" s="30">
        <f t="shared" ref="AA15:AC15" si="22">AA9/(10*AA13)</f>
        <v>-1.040378548895899</v>
      </c>
      <c r="AB15" s="31">
        <f t="shared" si="22"/>
        <v>-1.4027204502814259</v>
      </c>
      <c r="AC15" s="30">
        <f t="shared" si="22"/>
        <v>7.9972081218274109</v>
      </c>
      <c r="AD15" s="30">
        <f t="shared" ref="AD15:AE15" si="23">AD9/(10*AD13)</f>
        <v>5.1180203045685282</v>
      </c>
      <c r="AE15" s="31">
        <f t="shared" si="23"/>
        <v>2.3618852459016395</v>
      </c>
      <c r="AF15" s="30">
        <f>AF9/(10*AF13)</f>
        <v>0.43474320241691844</v>
      </c>
      <c r="AG15" s="30">
        <f t="shared" ref="AG15:AH15" si="24">AG9/(10*AG13)</f>
        <v>-0.11468531468531469</v>
      </c>
      <c r="AH15" s="31">
        <f t="shared" si="24"/>
        <v>-3.4067846607669616</v>
      </c>
      <c r="AI15" s="30">
        <f>AI9/(10*AI13)</f>
        <v>6.5198312236286924</v>
      </c>
      <c r="AJ15" s="30">
        <f>AJ9/(10*AJ13)</f>
        <v>4.1708502024291496</v>
      </c>
      <c r="AK15" s="31">
        <f>AK9/(10*AK13)</f>
        <v>2.2674329501915711</v>
      </c>
      <c r="AL15" s="30">
        <f>AL9/(10*AL13)</f>
        <v>13.905729166666667</v>
      </c>
      <c r="AM15" s="30">
        <f>AM9/(10*AM13)</f>
        <v>10.237297297297298</v>
      </c>
      <c r="AN15" s="31">
        <f t="shared" ref="AN15" si="25">AN9/(10*AN13)</f>
        <v>7.11010101010101</v>
      </c>
      <c r="AO15" s="30">
        <f t="shared" ref="AO15:AP15" si="26">AO9/(10*AO13)</f>
        <v>1.7917808219178082</v>
      </c>
      <c r="AP15" s="30">
        <f t="shared" si="26"/>
        <v>-0.52345132743362832</v>
      </c>
      <c r="AQ15" s="31">
        <f>AQ9/(10*AQ13)</f>
        <v>-4.0743697478991594</v>
      </c>
      <c r="AR15" s="30">
        <f t="shared" ref="AR15" si="27">AR9/(10*AR13)</f>
        <v>2.0670391061452515</v>
      </c>
      <c r="AS15" s="30">
        <f>AS9/(10*AS13)</f>
        <v>1.9464864864864866</v>
      </c>
      <c r="AT15" s="31">
        <f t="shared" ref="AT15:AU15" si="28">AT9/(10*AT13)</f>
        <v>0.75025641025641021</v>
      </c>
      <c r="AU15" s="30">
        <f t="shared" si="28"/>
        <v>2.4430769230769229</v>
      </c>
      <c r="AV15" s="30">
        <f>AV9/(10*AV13)</f>
        <v>0.69438202247191017</v>
      </c>
      <c r="AW15" s="31">
        <f t="shared" ref="AW15" si="29">AW9/(10*AW13)</f>
        <v>-1.0489473684210526</v>
      </c>
      <c r="AX15" s="30">
        <f t="shared" ref="AX15:AY15" si="30">AX9/(10*AX13)</f>
        <v>16.781381733021078</v>
      </c>
      <c r="AY15" s="30">
        <f t="shared" si="30"/>
        <v>7.8722012578616356</v>
      </c>
      <c r="AZ15" s="30">
        <f t="shared" ref="AZ15:BA15" si="31">AZ9/(10*AZ13)</f>
        <v>7.4651532349602725</v>
      </c>
      <c r="BA15" s="30">
        <f t="shared" si="31"/>
        <v>19.323462630085146</v>
      </c>
      <c r="BB15" s="30">
        <f t="shared" ref="BB15:BG15" si="32">BB9/(10*BB13)</f>
        <v>-23.099045599151644</v>
      </c>
      <c r="BC15" s="30">
        <f t="shared" si="32"/>
        <v>-17.372160148975791</v>
      </c>
      <c r="BD15" s="31">
        <f t="shared" ref="BD15" si="33">BD9/(10*BD13)</f>
        <v>-1.5090265486725665</v>
      </c>
      <c r="BE15" s="30">
        <f t="shared" si="32"/>
        <v>-17.419154052907061</v>
      </c>
      <c r="BF15" s="30">
        <f t="shared" si="32"/>
        <v>-13.14933639612047</v>
      </c>
      <c r="BG15" s="31">
        <f t="shared" si="32"/>
        <v>-12.313455479052399</v>
      </c>
      <c r="BH15" s="31"/>
      <c r="BI15" s="31"/>
      <c r="BJ15" s="31"/>
      <c r="BK15" s="31"/>
      <c r="BM15" s="31"/>
      <c r="BN15" s="31"/>
      <c r="BO15" s="31"/>
      <c r="BP15" s="31"/>
      <c r="BQ15" s="31"/>
      <c r="BR15" s="31"/>
      <c r="BS15" s="31"/>
      <c r="BT15" s="31"/>
      <c r="BW15" s="29"/>
      <c r="BX15" s="31"/>
      <c r="BY15" s="31"/>
      <c r="BZ15" s="31"/>
      <c r="CA15" s="31"/>
      <c r="CB15" s="31"/>
      <c r="CC15" s="31"/>
      <c r="CF15" s="29"/>
      <c r="CI15" s="29"/>
      <c r="CL15" s="29"/>
      <c r="CO15" s="29"/>
    </row>
    <row r="16" spans="7:93" x14ac:dyDescent="0.55000000000000004">
      <c r="G16" t="s">
        <v>35</v>
      </c>
      <c r="K16" s="19">
        <f t="shared" si="13"/>
        <v>-44569</v>
      </c>
      <c r="L16" s="19">
        <f t="shared" si="13"/>
        <v>-10565</v>
      </c>
      <c r="M16" s="19">
        <f t="shared" si="13"/>
        <v>5077</v>
      </c>
      <c r="N16">
        <v>-7944</v>
      </c>
      <c r="O16">
        <v>-1266</v>
      </c>
      <c r="P16" s="12">
        <v>0</v>
      </c>
      <c r="Q16">
        <v>-19814</v>
      </c>
      <c r="R16">
        <v>-2381</v>
      </c>
      <c r="S16" s="12">
        <v>-172</v>
      </c>
      <c r="T16">
        <v>-7734</v>
      </c>
      <c r="U16">
        <v>0</v>
      </c>
      <c r="V16" s="12">
        <v>0</v>
      </c>
      <c r="W16">
        <v>844</v>
      </c>
      <c r="X16">
        <v>815</v>
      </c>
      <c r="Y16" s="12">
        <v>2055</v>
      </c>
      <c r="Z16">
        <v>0</v>
      </c>
      <c r="AA16">
        <v>0</v>
      </c>
      <c r="AB16" s="12">
        <v>2403</v>
      </c>
      <c r="AC16">
        <v>-3194</v>
      </c>
      <c r="AD16">
        <v>-1139</v>
      </c>
      <c r="AE16" s="12">
        <v>0</v>
      </c>
      <c r="AF16">
        <v>-3679</v>
      </c>
      <c r="AG16">
        <v>-3370</v>
      </c>
      <c r="AH16" s="12">
        <v>-580</v>
      </c>
      <c r="AI16">
        <v>-2122</v>
      </c>
      <c r="AJ16">
        <v>-2211</v>
      </c>
      <c r="AK16" s="12">
        <v>-5</v>
      </c>
      <c r="AL16">
        <v>2</v>
      </c>
      <c r="AM16">
        <v>0</v>
      </c>
      <c r="AN16" s="12">
        <v>297</v>
      </c>
      <c r="AO16">
        <v>99</v>
      </c>
      <c r="AP16">
        <v>99</v>
      </c>
      <c r="AQ16" s="12">
        <v>457</v>
      </c>
      <c r="AR16">
        <v>0</v>
      </c>
      <c r="AS16">
        <v>0</v>
      </c>
      <c r="AT16" s="12">
        <v>575</v>
      </c>
      <c r="AU16">
        <v>-1027</v>
      </c>
      <c r="AV16">
        <v>-1112</v>
      </c>
      <c r="AW16" s="12">
        <v>47</v>
      </c>
      <c r="AX16">
        <v>80729</v>
      </c>
      <c r="AY16">
        <v>-3184</v>
      </c>
      <c r="AZ16">
        <v>-132480</v>
      </c>
      <c r="BA16" s="12">
        <v>26300</v>
      </c>
      <c r="BB16">
        <v>33</v>
      </c>
      <c r="BC16">
        <v>39</v>
      </c>
      <c r="BE16">
        <v>-77621</v>
      </c>
      <c r="BF16">
        <v>-114300</v>
      </c>
      <c r="BG16" s="12">
        <v>58836</v>
      </c>
      <c r="BM16" s="12"/>
      <c r="CD16" s="1"/>
      <c r="CE16" s="1"/>
      <c r="CF16" s="1"/>
      <c r="CG16" s="1"/>
      <c r="CH16" s="1"/>
      <c r="CI16" s="1"/>
      <c r="CJ16" s="1"/>
      <c r="CK16" s="1"/>
      <c r="CM16" s="1"/>
      <c r="CN16" s="1"/>
    </row>
    <row r="17" spans="7:93" x14ac:dyDescent="0.55000000000000004">
      <c r="T17" s="7"/>
    </row>
    <row r="18" spans="7:93" x14ac:dyDescent="0.55000000000000004">
      <c r="L18" s="19"/>
      <c r="T18" s="7"/>
      <c r="AG18" s="10"/>
    </row>
    <row r="19" spans="7:93" x14ac:dyDescent="0.55000000000000004">
      <c r="G19" t="s">
        <v>58</v>
      </c>
      <c r="K19" s="9">
        <v>14.85</v>
      </c>
      <c r="L19" s="9">
        <v>14.334000000000001</v>
      </c>
      <c r="M19" s="9">
        <v>13.494999999999999</v>
      </c>
      <c r="N19">
        <v>15.2</v>
      </c>
      <c r="O19" s="2">
        <v>14.6</v>
      </c>
      <c r="P19" s="15">
        <v>13.7</v>
      </c>
      <c r="Q19" s="2">
        <v>4.3099999999999996</v>
      </c>
      <c r="R19" s="2">
        <v>4.1900000000000004</v>
      </c>
      <c r="S19" s="15">
        <v>3.95</v>
      </c>
      <c r="T19" s="32">
        <v>2.92</v>
      </c>
      <c r="U19" s="2">
        <v>2.83</v>
      </c>
      <c r="V19" s="12">
        <v>2.65</v>
      </c>
      <c r="W19" s="2">
        <v>2.19</v>
      </c>
      <c r="X19" s="2">
        <v>2.13</v>
      </c>
      <c r="Y19" s="15">
        <v>2</v>
      </c>
      <c r="Z19" s="2">
        <v>1.59</v>
      </c>
      <c r="AA19" s="2">
        <v>1.5</v>
      </c>
      <c r="AB19" s="15">
        <v>1.37</v>
      </c>
      <c r="AC19" s="2">
        <v>1.1299999999999999</v>
      </c>
      <c r="AD19" s="2">
        <v>1.07</v>
      </c>
      <c r="AE19" s="15">
        <v>0.99</v>
      </c>
      <c r="AF19" s="2">
        <v>0.61</v>
      </c>
      <c r="AG19" s="2">
        <v>0.6</v>
      </c>
      <c r="AH19" s="15">
        <v>0.56000000000000005</v>
      </c>
      <c r="AI19" s="2">
        <v>0.48</v>
      </c>
      <c r="AJ19">
        <v>0.47</v>
      </c>
      <c r="AK19" s="46">
        <v>0.45</v>
      </c>
      <c r="AL19" s="2">
        <v>0.28499999999999998</v>
      </c>
      <c r="AM19" s="2">
        <v>0.26800000000000002</v>
      </c>
      <c r="AN19" s="15">
        <v>0.24399999999999999</v>
      </c>
      <c r="AO19" s="2">
        <v>0.23799999999999999</v>
      </c>
      <c r="AP19">
        <v>0.22500000000000001</v>
      </c>
      <c r="AQ19" s="12">
        <v>0.20799999999999999</v>
      </c>
      <c r="AR19" s="2">
        <v>0.53300000000000003</v>
      </c>
      <c r="AS19" s="2">
        <v>0.51</v>
      </c>
      <c r="AT19" s="15">
        <v>0.52100000000000002</v>
      </c>
      <c r="AU19" s="2">
        <v>0.56399999999999995</v>
      </c>
      <c r="AV19" s="2">
        <v>0.54100000000000004</v>
      </c>
      <c r="AW19" s="15">
        <v>0.55200000000000005</v>
      </c>
      <c r="AX19" s="9">
        <v>0.82495160000000001</v>
      </c>
      <c r="AY19" s="9">
        <v>0.80367859999999991</v>
      </c>
      <c r="AZ19" s="9">
        <v>0.79069889999999998</v>
      </c>
      <c r="BA19" s="15"/>
      <c r="BB19" s="39">
        <v>2850.989</v>
      </c>
      <c r="BC19" s="39">
        <v>2711.1849999999999</v>
      </c>
      <c r="BD19" s="39">
        <v>2526.4279999999999</v>
      </c>
      <c r="BE19" s="39">
        <v>29184.9</v>
      </c>
      <c r="BF19" s="39">
        <v>27720.724999999999</v>
      </c>
      <c r="BG19" s="39">
        <v>26006.9</v>
      </c>
      <c r="BH19" s="40"/>
      <c r="BI19" s="40"/>
      <c r="BJ19" s="40"/>
      <c r="BK19" s="40"/>
      <c r="BL19" s="39"/>
      <c r="BM19" s="39"/>
      <c r="BN19" s="39"/>
      <c r="BQ19"/>
      <c r="BT19"/>
      <c r="BU19" s="40"/>
      <c r="BV19" s="40"/>
      <c r="BW19" s="40"/>
      <c r="BX19" s="39"/>
      <c r="BY19" s="39"/>
      <c r="BZ19" s="39"/>
      <c r="CA19" s="40"/>
      <c r="CB19" s="40"/>
      <c r="CC19" s="40"/>
      <c r="CD19" s="39"/>
      <c r="CE19" s="39"/>
      <c r="CF19" s="39"/>
      <c r="CG19" s="41"/>
      <c r="CH19" s="41"/>
      <c r="CI19" s="41"/>
      <c r="CJ19" s="40"/>
      <c r="CK19" s="40"/>
      <c r="CL19" s="40"/>
      <c r="CO19"/>
    </row>
    <row r="20" spans="7:93" s="42" customFormat="1" x14ac:dyDescent="0.55000000000000004">
      <c r="G20" s="42" t="s">
        <v>20</v>
      </c>
      <c r="J20" s="43"/>
      <c r="K20" s="44">
        <f t="shared" ref="K20:P20" si="34">K9/(K19*10000)</f>
        <v>4.3736767676767681</v>
      </c>
      <c r="L20" s="44">
        <f t="shared" si="34"/>
        <v>3.0551206920608345</v>
      </c>
      <c r="M20" s="44">
        <f t="shared" si="34"/>
        <v>2.1129381252315671</v>
      </c>
      <c r="N20" s="44">
        <f t="shared" si="34"/>
        <v>0.10066447368421053</v>
      </c>
      <c r="O20" s="44">
        <f t="shared" si="34"/>
        <v>3.3705479452054793E-2</v>
      </c>
      <c r="P20" s="44">
        <f t="shared" si="34"/>
        <v>-5.3364963503649637E-2</v>
      </c>
      <c r="Q20" s="44">
        <f t="shared" ref="Q20" si="35">Q9/(Q19*10000)</f>
        <v>4.0747563805104416</v>
      </c>
      <c r="R20" s="44">
        <f>R9/(R19*10000)</f>
        <v>2.7526252983293551</v>
      </c>
      <c r="S20" s="44">
        <f t="shared" ref="S20:AZ20" si="36">S9/(S19*10000)</f>
        <v>1.968987341772152</v>
      </c>
      <c r="T20" s="44">
        <f t="shared" si="36"/>
        <v>5.4743150684931505</v>
      </c>
      <c r="U20" s="44">
        <f t="shared" si="36"/>
        <v>4.477773851590106</v>
      </c>
      <c r="V20" s="44">
        <f t="shared" si="36"/>
        <v>4.4199245283018866</v>
      </c>
      <c r="W20" s="44">
        <f t="shared" si="36"/>
        <v>9.6653424657534242</v>
      </c>
      <c r="X20" s="44">
        <f t="shared" si="36"/>
        <v>6.9533333333333331</v>
      </c>
      <c r="Y20" s="44">
        <f t="shared" si="36"/>
        <v>5.1378000000000004</v>
      </c>
      <c r="Z20" s="44">
        <f t="shared" si="36"/>
        <v>7.2201257861635226E-2</v>
      </c>
      <c r="AA20" s="44">
        <f t="shared" si="36"/>
        <v>-0.65959999999999996</v>
      </c>
      <c r="AB20" s="44">
        <f t="shared" si="36"/>
        <v>-1.0914598540145983</v>
      </c>
      <c r="AC20" s="44">
        <f t="shared" si="36"/>
        <v>2.7884070796460181</v>
      </c>
      <c r="AD20" s="44">
        <f t="shared" si="36"/>
        <v>1.8845794392523365</v>
      </c>
      <c r="AE20" s="44">
        <f t="shared" si="36"/>
        <v>1.1642424242424243</v>
      </c>
      <c r="AF20" s="44">
        <f t="shared" si="36"/>
        <v>0.23590163934426228</v>
      </c>
      <c r="AG20" s="44">
        <f t="shared" si="36"/>
        <v>-5.4666666666666669E-2</v>
      </c>
      <c r="AH20" s="44">
        <f t="shared" si="36"/>
        <v>-2.0623214285714284</v>
      </c>
      <c r="AI20" s="44">
        <f t="shared" si="36"/>
        <v>3.2191666666666667</v>
      </c>
      <c r="AJ20" s="44">
        <f t="shared" si="36"/>
        <v>2.1919148936170214</v>
      </c>
      <c r="AK20" s="44">
        <f t="shared" si="36"/>
        <v>1.3151111111111111</v>
      </c>
      <c r="AL20" s="44">
        <f t="shared" si="36"/>
        <v>9.3680701754385982</v>
      </c>
      <c r="AM20" s="44">
        <f t="shared" si="36"/>
        <v>7.0667910447761191</v>
      </c>
      <c r="AN20" s="44">
        <f t="shared" si="36"/>
        <v>5.7696721311475407</v>
      </c>
      <c r="AO20" s="44">
        <f t="shared" si="36"/>
        <v>1.6487394957983192</v>
      </c>
      <c r="AP20" s="44">
        <f t="shared" si="36"/>
        <v>-0.52577777777777779</v>
      </c>
      <c r="AQ20" s="44">
        <f t="shared" si="36"/>
        <v>-4.6620192307692312</v>
      </c>
      <c r="AR20" s="44">
        <f t="shared" si="36"/>
        <v>0.69418386491557227</v>
      </c>
      <c r="AS20" s="44">
        <f t="shared" si="36"/>
        <v>0.706078431372549</v>
      </c>
      <c r="AT20" s="44">
        <f t="shared" si="36"/>
        <v>0.28080614203454896</v>
      </c>
      <c r="AU20" s="44">
        <f t="shared" si="36"/>
        <v>0.56312056737588656</v>
      </c>
      <c r="AV20" s="44">
        <f t="shared" si="36"/>
        <v>0.22846580406654343</v>
      </c>
      <c r="AW20" s="44">
        <f t="shared" si="36"/>
        <v>-0.36105072463768112</v>
      </c>
      <c r="AX20" s="44">
        <f t="shared" si="36"/>
        <v>17.372291901730964</v>
      </c>
      <c r="AY20" s="44">
        <f t="shared" si="36"/>
        <v>7.7871925418942354</v>
      </c>
      <c r="AZ20" s="44">
        <f t="shared" si="36"/>
        <v>8.3177047546164538</v>
      </c>
      <c r="BA20" s="43"/>
      <c r="BB20" s="44">
        <f t="shared" ref="BB20:BG20" si="37">BB9/(BB19*10)</f>
        <v>-7.6402960516508482</v>
      </c>
      <c r="BC20" s="44">
        <f t="shared" si="37"/>
        <v>-6.8817509686723701</v>
      </c>
      <c r="BD20" s="44">
        <f t="shared" si="37"/>
        <v>-0.67494502119197541</v>
      </c>
      <c r="BE20" s="44">
        <f t="shared" si="37"/>
        <v>-4.2191681314652438</v>
      </c>
      <c r="BF20" s="44">
        <f t="shared" si="37"/>
        <v>-3.7170095659474995</v>
      </c>
      <c r="BG20" s="44">
        <f t="shared" si="37"/>
        <v>-4.0571540629602145</v>
      </c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5"/>
      <c r="CB20" s="45"/>
      <c r="CC20" s="45"/>
      <c r="CD20" s="45"/>
      <c r="CE20" s="45"/>
      <c r="CF20" s="45"/>
      <c r="CG20" s="45"/>
      <c r="CH20" s="45"/>
      <c r="CI20" s="45"/>
      <c r="CJ20" s="44"/>
      <c r="CK20" s="44"/>
      <c r="CL20" s="44"/>
      <c r="CM20" s="44"/>
      <c r="CN20" s="44"/>
      <c r="CO20" s="44"/>
    </row>
    <row r="21" spans="7:93" x14ac:dyDescent="0.55000000000000004">
      <c r="T21" s="7"/>
    </row>
    <row r="23" spans="7:93" x14ac:dyDescent="0.55000000000000004">
      <c r="G23" t="s">
        <v>53</v>
      </c>
      <c r="H23">
        <v>872158</v>
      </c>
      <c r="I23">
        <v>649110</v>
      </c>
      <c r="K23" s="19">
        <f>N23+Q23+T23+W23+Z23+AC23+AF23+AL23+AO23+AI23+AR23+AU23</f>
        <v>866992</v>
      </c>
      <c r="L23" s="19">
        <f>O23+R23+U23+X23+AA23+AD23+AG23+AM23+AP23+AJ23+AS23+AV23</f>
        <v>645263</v>
      </c>
      <c r="N23">
        <v>40895</v>
      </c>
      <c r="O23">
        <v>30419</v>
      </c>
      <c r="Q23">
        <v>270579</v>
      </c>
      <c r="R23">
        <v>201335</v>
      </c>
      <c r="T23" s="7">
        <v>196745</v>
      </c>
      <c r="U23">
        <v>146345</v>
      </c>
      <c r="W23">
        <v>197945</v>
      </c>
      <c r="X23">
        <v>147239</v>
      </c>
      <c r="Z23">
        <v>22734</v>
      </c>
      <c r="AA23">
        <v>16911</v>
      </c>
      <c r="AC23">
        <v>49446</v>
      </c>
      <c r="AD23">
        <v>36780</v>
      </c>
      <c r="AE23" s="12">
        <v>33595</v>
      </c>
      <c r="AF23">
        <v>18359</v>
      </c>
      <c r="AG23">
        <v>13656</v>
      </c>
      <c r="AI23">
        <v>22605</v>
      </c>
      <c r="AJ23">
        <v>16814</v>
      </c>
      <c r="AK23" s="12">
        <v>15358</v>
      </c>
      <c r="AL23">
        <v>30895</v>
      </c>
      <c r="AM23">
        <v>22978</v>
      </c>
      <c r="AO23">
        <v>12286</v>
      </c>
      <c r="AP23">
        <v>9119</v>
      </c>
      <c r="AQ23" s="12">
        <v>8316</v>
      </c>
      <c r="AR23">
        <v>971</v>
      </c>
      <c r="AS23">
        <v>722</v>
      </c>
      <c r="AT23" s="12">
        <v>660</v>
      </c>
      <c r="AU23">
        <v>3532</v>
      </c>
      <c r="AV23">
        <v>2945</v>
      </c>
      <c r="AW23" s="12">
        <v>2690</v>
      </c>
      <c r="AX23">
        <v>79047</v>
      </c>
      <c r="AY23">
        <v>57818</v>
      </c>
      <c r="AZ23">
        <v>56099</v>
      </c>
      <c r="BA23" s="12">
        <v>55691</v>
      </c>
      <c r="BK23"/>
      <c r="BO23" s="12"/>
      <c r="BP23" s="12"/>
    </row>
    <row r="24" spans="7:93" x14ac:dyDescent="0.55000000000000004">
      <c r="G24" t="s">
        <v>32</v>
      </c>
      <c r="K24" s="19">
        <f>N24+Q24+T24+W24+Z24+AC24+AF24+AL24+AO24+AI24+AR24+AU24</f>
        <v>785800</v>
      </c>
      <c r="L24" s="19">
        <f>O24+R24+U24+X24+AA24+AD24+AG24+AM24+AP24+AJ24+AS24+AV24</f>
        <v>584445</v>
      </c>
      <c r="N24">
        <v>37097</v>
      </c>
      <c r="O24">
        <v>26622</v>
      </c>
      <c r="Q24">
        <v>262657</v>
      </c>
      <c r="R24">
        <v>193409</v>
      </c>
      <c r="T24" s="7">
        <v>177321</v>
      </c>
      <c r="U24">
        <v>126926</v>
      </c>
      <c r="W24">
        <v>178524</v>
      </c>
      <c r="X24">
        <v>127818</v>
      </c>
      <c r="Z24">
        <v>21884</v>
      </c>
      <c r="AA24">
        <v>16060</v>
      </c>
      <c r="AC24">
        <v>48319</v>
      </c>
      <c r="AD24">
        <v>35653</v>
      </c>
      <c r="AE24" s="12">
        <v>32469</v>
      </c>
      <c r="AF24">
        <v>18042</v>
      </c>
      <c r="AG24">
        <v>13339</v>
      </c>
      <c r="AJ24">
        <v>14597</v>
      </c>
      <c r="AK24" s="12">
        <v>13140</v>
      </c>
      <c r="AL24">
        <v>27853</v>
      </c>
      <c r="AM24">
        <v>19940</v>
      </c>
      <c r="AO24">
        <v>10306</v>
      </c>
      <c r="AP24">
        <v>7162</v>
      </c>
      <c r="AQ24" s="12">
        <v>6391</v>
      </c>
      <c r="AR24">
        <v>612</v>
      </c>
      <c r="AS24" s="12">
        <v>363</v>
      </c>
      <c r="AT24" s="12">
        <v>301</v>
      </c>
      <c r="AU24">
        <v>3185</v>
      </c>
      <c r="AV24">
        <v>2556</v>
      </c>
      <c r="AW24" s="12">
        <v>2301</v>
      </c>
      <c r="BO24" s="12"/>
      <c r="BP24" s="12"/>
    </row>
    <row r="25" spans="7:93" x14ac:dyDescent="0.55000000000000004">
      <c r="T25" s="7"/>
      <c r="BB25" t="s">
        <v>49</v>
      </c>
      <c r="BD25" s="12" t="s">
        <v>44</v>
      </c>
    </row>
    <row r="26" spans="7:93" x14ac:dyDescent="0.55000000000000004">
      <c r="T26" s="7"/>
      <c r="BB26" t="s">
        <v>47</v>
      </c>
      <c r="BD26" s="12" t="s">
        <v>44</v>
      </c>
      <c r="BE26" t="s">
        <v>48</v>
      </c>
      <c r="BG26" s="12" t="s">
        <v>44</v>
      </c>
    </row>
    <row r="27" spans="7:93" x14ac:dyDescent="0.55000000000000004">
      <c r="T27" s="7"/>
      <c r="BU27" s="3"/>
      <c r="CF27"/>
    </row>
    <row r="28" spans="7:93" x14ac:dyDescent="0.55000000000000004">
      <c r="T28" s="7"/>
      <c r="CF28"/>
      <c r="CI28"/>
      <c r="CL28"/>
    </row>
    <row r="29" spans="7:93" x14ac:dyDescent="0.55000000000000004">
      <c r="T29" s="7"/>
      <c r="CD29" s="1"/>
      <c r="CF29"/>
    </row>
    <row r="30" spans="7:93" x14ac:dyDescent="0.55000000000000004">
      <c r="T30" s="7"/>
      <c r="CF30"/>
      <c r="CH30" s="33"/>
      <c r="CI30" s="33"/>
    </row>
    <row r="31" spans="7:93" x14ac:dyDescent="0.55000000000000004">
      <c r="G31" t="s">
        <v>54</v>
      </c>
      <c r="T31" s="7"/>
      <c r="AX31" s="35">
        <v>0.9526</v>
      </c>
      <c r="AY31" s="35">
        <v>0.9718</v>
      </c>
      <c r="AZ31" s="35">
        <v>1.0046999999999999</v>
      </c>
      <c r="BA31" s="36" t="s">
        <v>55</v>
      </c>
      <c r="CF31"/>
      <c r="CG31" s="38"/>
      <c r="CH31" s="38"/>
      <c r="CI31" s="38"/>
      <c r="CJ31" s="37"/>
    </row>
    <row r="32" spans="7:93" x14ac:dyDescent="0.55000000000000004">
      <c r="G32" t="s">
        <v>56</v>
      </c>
      <c r="Q32">
        <f>Q19</f>
        <v>4.3099999999999996</v>
      </c>
      <c r="R32">
        <f t="shared" ref="R32:AW32" si="38">R19</f>
        <v>4.1900000000000004</v>
      </c>
      <c r="S32">
        <f t="shared" si="38"/>
        <v>3.95</v>
      </c>
      <c r="T32">
        <f t="shared" si="38"/>
        <v>2.92</v>
      </c>
      <c r="U32">
        <f t="shared" si="38"/>
        <v>2.83</v>
      </c>
      <c r="V32">
        <f t="shared" si="38"/>
        <v>2.65</v>
      </c>
      <c r="W32">
        <f t="shared" si="38"/>
        <v>2.19</v>
      </c>
      <c r="X32">
        <f t="shared" si="38"/>
        <v>2.13</v>
      </c>
      <c r="Y32">
        <f t="shared" si="38"/>
        <v>2</v>
      </c>
      <c r="Z32">
        <f t="shared" si="38"/>
        <v>1.59</v>
      </c>
      <c r="AA32">
        <f t="shared" si="38"/>
        <v>1.5</v>
      </c>
      <c r="AB32">
        <f t="shared" si="38"/>
        <v>1.37</v>
      </c>
      <c r="AC32">
        <f t="shared" si="38"/>
        <v>1.1299999999999999</v>
      </c>
      <c r="AD32">
        <f t="shared" si="38"/>
        <v>1.07</v>
      </c>
      <c r="AE32">
        <f t="shared" si="38"/>
        <v>0.99</v>
      </c>
      <c r="AF32">
        <f t="shared" si="38"/>
        <v>0.61</v>
      </c>
      <c r="AG32">
        <f t="shared" si="38"/>
        <v>0.6</v>
      </c>
      <c r="AH32">
        <f t="shared" si="38"/>
        <v>0.56000000000000005</v>
      </c>
      <c r="AI32">
        <f t="shared" si="38"/>
        <v>0.48</v>
      </c>
      <c r="AJ32">
        <f t="shared" si="38"/>
        <v>0.47</v>
      </c>
      <c r="AK32">
        <f t="shared" si="38"/>
        <v>0.45</v>
      </c>
      <c r="AL32">
        <f t="shared" si="38"/>
        <v>0.28499999999999998</v>
      </c>
      <c r="AM32">
        <f t="shared" si="38"/>
        <v>0.26800000000000002</v>
      </c>
      <c r="AN32">
        <f t="shared" si="38"/>
        <v>0.24399999999999999</v>
      </c>
      <c r="AO32">
        <f t="shared" si="38"/>
        <v>0.23799999999999999</v>
      </c>
      <c r="AP32">
        <f t="shared" si="38"/>
        <v>0.22500000000000001</v>
      </c>
      <c r="AQ32">
        <f t="shared" si="38"/>
        <v>0.20799999999999999</v>
      </c>
      <c r="AR32">
        <f t="shared" si="38"/>
        <v>0.53300000000000003</v>
      </c>
      <c r="AS32">
        <f t="shared" si="38"/>
        <v>0.51</v>
      </c>
      <c r="AT32">
        <f t="shared" si="38"/>
        <v>0.52100000000000002</v>
      </c>
      <c r="AU32">
        <f t="shared" si="38"/>
        <v>0.56399999999999995</v>
      </c>
      <c r="AV32">
        <f t="shared" si="38"/>
        <v>0.54100000000000004</v>
      </c>
      <c r="AW32">
        <f t="shared" si="38"/>
        <v>0.55200000000000005</v>
      </c>
      <c r="AX32" s="33">
        <v>0.86599999999999999</v>
      </c>
      <c r="AY32" s="33">
        <v>0.82699999999999996</v>
      </c>
      <c r="AZ32" s="34">
        <v>0.78700000000000003</v>
      </c>
      <c r="CF32"/>
      <c r="CG32" s="38"/>
      <c r="CH32" s="38"/>
      <c r="CI32" s="38"/>
      <c r="CJ32" s="37"/>
      <c r="CL32"/>
    </row>
    <row r="33" spans="20:90" x14ac:dyDescent="0.55000000000000004">
      <c r="T33" s="7"/>
      <c r="CE33" s="10"/>
      <c r="CF33"/>
      <c r="CI33"/>
      <c r="CL33"/>
    </row>
    <row r="34" spans="20:90" x14ac:dyDescent="0.55000000000000004">
      <c r="T34" s="7"/>
      <c r="CF34"/>
      <c r="CI34"/>
      <c r="CL34"/>
    </row>
    <row r="35" spans="20:90" x14ac:dyDescent="0.55000000000000004">
      <c r="T35" s="4"/>
      <c r="CF35"/>
      <c r="CI35"/>
      <c r="CL35"/>
    </row>
    <row r="36" spans="20:90" x14ac:dyDescent="0.55000000000000004">
      <c r="CF36"/>
      <c r="CL36"/>
    </row>
    <row r="37" spans="20:90" x14ac:dyDescent="0.55000000000000004">
      <c r="CL37"/>
    </row>
    <row r="38" spans="20:90" x14ac:dyDescent="0.55000000000000004">
      <c r="CF38"/>
    </row>
    <row r="39" spans="20:90" x14ac:dyDescent="0.55000000000000004">
      <c r="CL39"/>
    </row>
    <row r="47" spans="20:90" x14ac:dyDescent="0.55000000000000004">
      <c r="BI47" s="26"/>
    </row>
    <row r="48" spans="20:90" x14ac:dyDescent="0.55000000000000004">
      <c r="BI48" s="27"/>
    </row>
    <row r="49" spans="61:62" x14ac:dyDescent="0.55000000000000004">
      <c r="BI49" s="19"/>
      <c r="BJ49" s="19"/>
    </row>
    <row r="50" spans="61:62" x14ac:dyDescent="0.55000000000000004">
      <c r="BI50" s="19"/>
      <c r="BJ50" s="19"/>
    </row>
    <row r="51" spans="61:62" x14ac:dyDescent="0.55000000000000004">
      <c r="BI51" s="19"/>
      <c r="BJ51" s="19"/>
    </row>
    <row r="52" spans="61:62" x14ac:dyDescent="0.55000000000000004">
      <c r="BI52" s="19"/>
      <c r="BJ52" s="1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BC54-FC90-4E0D-8631-7DCAB13F57C3}">
  <dimension ref="B1:AH12"/>
  <sheetViews>
    <sheetView tabSelected="1" topLeftCell="R1" workbookViewId="0">
      <selection activeCell="AH14" sqref="AH14"/>
    </sheetView>
  </sheetViews>
  <sheetFormatPr defaultRowHeight="14.4" x14ac:dyDescent="0.55000000000000004"/>
  <cols>
    <col min="2" max="2" width="14.68359375" customWidth="1"/>
  </cols>
  <sheetData>
    <row r="1" spans="2:34" x14ac:dyDescent="0.55000000000000004">
      <c r="C1" t="s">
        <v>0</v>
      </c>
      <c r="D1" t="s">
        <v>22</v>
      </c>
      <c r="E1" t="s">
        <v>23</v>
      </c>
      <c r="F1" t="s">
        <v>24</v>
      </c>
      <c r="G1" t="s">
        <v>25</v>
      </c>
      <c r="H1" t="s">
        <v>59</v>
      </c>
      <c r="I1" t="s">
        <v>26</v>
      </c>
      <c r="J1" t="s">
        <v>60</v>
      </c>
      <c r="K1" t="s">
        <v>27</v>
      </c>
      <c r="L1" t="s">
        <v>28</v>
      </c>
      <c r="M1" t="s">
        <v>29</v>
      </c>
      <c r="N1" t="s">
        <v>30</v>
      </c>
      <c r="O1" t="s">
        <v>61</v>
      </c>
      <c r="P1" t="s">
        <v>62</v>
      </c>
      <c r="Q1" t="s">
        <v>63</v>
      </c>
      <c r="R1" s="1" t="s">
        <v>1</v>
      </c>
      <c r="S1" t="s">
        <v>31</v>
      </c>
      <c r="V1" t="s">
        <v>61</v>
      </c>
      <c r="W1" t="s">
        <v>64</v>
      </c>
      <c r="X1" t="s">
        <v>65</v>
      </c>
      <c r="Y1" t="s">
        <v>66</v>
      </c>
      <c r="Z1" t="s">
        <v>67</v>
      </c>
      <c r="AA1" t="s">
        <v>68</v>
      </c>
      <c r="AB1" t="s">
        <v>69</v>
      </c>
      <c r="AE1" t="s">
        <v>61</v>
      </c>
      <c r="AF1" t="s">
        <v>62</v>
      </c>
      <c r="AG1" t="s">
        <v>70</v>
      </c>
      <c r="AH1" t="s">
        <v>31</v>
      </c>
    </row>
    <row r="2" spans="2:34" x14ac:dyDescent="0.55000000000000004">
      <c r="B2" t="s">
        <v>75</v>
      </c>
      <c r="C2" t="s">
        <v>0</v>
      </c>
      <c r="D2" t="s">
        <v>1</v>
      </c>
      <c r="E2" t="s">
        <v>39</v>
      </c>
      <c r="F2" t="s">
        <v>38</v>
      </c>
      <c r="G2" t="s">
        <v>37</v>
      </c>
      <c r="H2" t="s">
        <v>36</v>
      </c>
      <c r="I2" t="s">
        <v>71</v>
      </c>
      <c r="J2" t="s">
        <v>33</v>
      </c>
      <c r="K2" t="s">
        <v>16</v>
      </c>
      <c r="L2" t="s">
        <v>17</v>
      </c>
      <c r="M2" t="s">
        <v>21</v>
      </c>
      <c r="N2" t="s">
        <v>10</v>
      </c>
      <c r="O2" t="s">
        <v>12</v>
      </c>
      <c r="P2" t="s">
        <v>72</v>
      </c>
      <c r="Q2" t="s">
        <v>15</v>
      </c>
      <c r="R2" t="s">
        <v>1</v>
      </c>
      <c r="U2">
        <v>2022</v>
      </c>
      <c r="V2" s="10">
        <f>O12</f>
        <v>7.4651532349602725</v>
      </c>
      <c r="W2" s="10">
        <f t="shared" ref="W2:Y2" si="0">P11</f>
        <v>0.39991150442477874</v>
      </c>
      <c r="X2" s="10">
        <f t="shared" si="0"/>
        <v>0.2</v>
      </c>
      <c r="Y2" s="10">
        <f t="shared" si="0"/>
        <v>0.19080578512396695</v>
      </c>
      <c r="Z2" s="10">
        <f t="shared" ref="Z2:AB4" si="1">W7</f>
        <v>-1.5</v>
      </c>
      <c r="AA2" s="10">
        <f t="shared" si="1"/>
        <v>-12.3</v>
      </c>
      <c r="AB2" s="10">
        <f t="shared" si="1"/>
        <v>2.678202479338843</v>
      </c>
      <c r="AD2" t="s">
        <v>73</v>
      </c>
      <c r="AE2">
        <v>8.3000000000000007</v>
      </c>
      <c r="AF2">
        <v>-7.6</v>
      </c>
      <c r="AG2">
        <v>-4.2</v>
      </c>
      <c r="AH2">
        <v>2.1</v>
      </c>
    </row>
    <row r="3" spans="2:34" x14ac:dyDescent="0.55000000000000004">
      <c r="P3" t="s">
        <v>74</v>
      </c>
      <c r="R3" s="1"/>
      <c r="U3">
        <v>2023</v>
      </c>
      <c r="V3" s="10">
        <f>O9</f>
        <v>7.8722012578616356</v>
      </c>
      <c r="W3" s="10">
        <f t="shared" ref="W3:Y3" si="2">P8</f>
        <v>0.3</v>
      </c>
      <c r="X3" s="10">
        <f t="shared" si="2"/>
        <v>-1.0456738131699848</v>
      </c>
      <c r="Y3" s="10">
        <f t="shared" si="2"/>
        <v>0.12563593004769474</v>
      </c>
      <c r="Z3" s="10">
        <f t="shared" si="1"/>
        <v>-17.399999999999999</v>
      </c>
      <c r="AA3" s="10">
        <f t="shared" si="1"/>
        <v>-13.2</v>
      </c>
      <c r="AB3" s="10">
        <f t="shared" si="1"/>
        <v>4.5840620031796506</v>
      </c>
      <c r="AD3" t="s">
        <v>78</v>
      </c>
      <c r="AE3">
        <v>17.37</v>
      </c>
      <c r="AF3">
        <v>-7.64</v>
      </c>
      <c r="AG3">
        <v>-4.22</v>
      </c>
      <c r="AH3">
        <v>4.37</v>
      </c>
    </row>
    <row r="4" spans="2:34" x14ac:dyDescent="0.55000000000000004">
      <c r="C4">
        <v>2024</v>
      </c>
      <c r="D4">
        <v>2024</v>
      </c>
      <c r="E4">
        <v>2024</v>
      </c>
      <c r="F4">
        <v>2024</v>
      </c>
      <c r="G4">
        <v>2024</v>
      </c>
      <c r="H4">
        <v>2024</v>
      </c>
      <c r="I4">
        <v>2024</v>
      </c>
      <c r="J4">
        <v>2024</v>
      </c>
      <c r="K4">
        <v>2024</v>
      </c>
      <c r="L4">
        <v>2024</v>
      </c>
      <c r="M4">
        <v>2024</v>
      </c>
      <c r="N4">
        <v>2024</v>
      </c>
      <c r="O4">
        <v>2024</v>
      </c>
      <c r="P4">
        <v>2024</v>
      </c>
      <c r="Q4">
        <v>2024</v>
      </c>
      <c r="R4" s="1">
        <v>2024</v>
      </c>
      <c r="S4" s="1">
        <v>2024</v>
      </c>
      <c r="U4">
        <v>2024</v>
      </c>
      <c r="V4" s="10">
        <f>O6</f>
        <v>16.781381733021078</v>
      </c>
      <c r="W4" s="10">
        <f t="shared" ref="W4:Y4" si="3">P5</f>
        <v>-4.3</v>
      </c>
      <c r="X4" s="10">
        <f t="shared" si="3"/>
        <v>-2.4</v>
      </c>
      <c r="Y4" s="10">
        <f t="shared" si="3"/>
        <v>-0.7017699115044248</v>
      </c>
      <c r="Z4" s="10">
        <f t="shared" si="1"/>
        <v>-23.1</v>
      </c>
      <c r="AA4" s="10">
        <f t="shared" si="1"/>
        <v>-17.399999999999999</v>
      </c>
      <c r="AB4" s="10">
        <f t="shared" si="1"/>
        <v>7.4008428150021066</v>
      </c>
    </row>
    <row r="5" spans="2:34" x14ac:dyDescent="0.55000000000000004">
      <c r="B5" t="s">
        <v>45</v>
      </c>
      <c r="C5" s="9">
        <v>-4.4461778471138844E-2</v>
      </c>
      <c r="D5" s="10">
        <v>-0.7017699115044248</v>
      </c>
      <c r="E5" s="10">
        <v>1.9788918205804749E-4</v>
      </c>
      <c r="F5" s="10">
        <v>2.3826086956521739</v>
      </c>
      <c r="G5" s="10">
        <v>0.20523446019629227</v>
      </c>
      <c r="H5" s="10">
        <v>1.0761421319796953</v>
      </c>
      <c r="I5" s="10">
        <v>-6.2537764350453176E-2</v>
      </c>
      <c r="J5" s="10">
        <v>-1.5611814345991562E-2</v>
      </c>
      <c r="K5" s="10">
        <v>1.0140625000000001</v>
      </c>
      <c r="L5" s="10">
        <v>1.6</v>
      </c>
      <c r="M5" s="10">
        <v>3.5</v>
      </c>
      <c r="N5" s="10">
        <v>2.2623076923076924</v>
      </c>
      <c r="O5" s="10">
        <v>16.781381733021078</v>
      </c>
      <c r="P5" s="10">
        <v>-4.3</v>
      </c>
      <c r="Q5" s="10">
        <v>-2.4</v>
      </c>
      <c r="R5" s="47">
        <f>D5</f>
        <v>-0.7017699115044248</v>
      </c>
      <c r="S5" s="47">
        <v>0.4</v>
      </c>
    </row>
    <row r="6" spans="2:34" x14ac:dyDescent="0.55000000000000004">
      <c r="B6" t="s">
        <v>19</v>
      </c>
      <c r="C6" s="9">
        <v>2.3870514820592823</v>
      </c>
      <c r="D6" s="10">
        <v>7.4008428150021066</v>
      </c>
      <c r="E6" s="10">
        <v>10.54419525065963</v>
      </c>
      <c r="F6" s="10">
        <v>19.173097826086956</v>
      </c>
      <c r="G6" s="10">
        <v>0.1251908396946565</v>
      </c>
      <c r="H6" s="10">
        <v>7.9972081218274109</v>
      </c>
      <c r="I6" s="10">
        <v>0.43474320241691844</v>
      </c>
      <c r="J6" s="10">
        <v>6.5198312236286924</v>
      </c>
      <c r="K6" s="10">
        <v>13.9</v>
      </c>
      <c r="L6" s="10">
        <v>1.8</v>
      </c>
      <c r="M6" s="10">
        <v>2.1</v>
      </c>
      <c r="N6" s="10">
        <v>2.4430769230769229</v>
      </c>
      <c r="O6" s="10">
        <v>16.781381733021078</v>
      </c>
      <c r="P6" s="10">
        <v>-23.1</v>
      </c>
      <c r="Q6" s="10">
        <v>-17.399999999999999</v>
      </c>
      <c r="R6" s="47">
        <f>D6</f>
        <v>7.4008428150021066</v>
      </c>
      <c r="S6" s="47">
        <v>7.9</v>
      </c>
      <c r="U6" t="s">
        <v>40</v>
      </c>
      <c r="V6" t="s">
        <v>61</v>
      </c>
      <c r="W6" t="s">
        <v>62</v>
      </c>
      <c r="X6" t="s">
        <v>63</v>
      </c>
      <c r="Y6" s="1" t="s">
        <v>1</v>
      </c>
    </row>
    <row r="7" spans="2:34" x14ac:dyDescent="0.55000000000000004">
      <c r="C7">
        <v>2023</v>
      </c>
      <c r="D7">
        <v>2023</v>
      </c>
      <c r="E7">
        <v>2023</v>
      </c>
      <c r="F7">
        <v>2023</v>
      </c>
      <c r="G7">
        <v>2023</v>
      </c>
      <c r="H7">
        <v>2023</v>
      </c>
      <c r="I7">
        <v>2023</v>
      </c>
      <c r="J7">
        <v>2023</v>
      </c>
      <c r="K7">
        <v>2023</v>
      </c>
      <c r="L7">
        <v>2023</v>
      </c>
      <c r="M7">
        <v>2023</v>
      </c>
      <c r="N7">
        <v>2023</v>
      </c>
      <c r="O7">
        <v>2023</v>
      </c>
      <c r="P7">
        <v>2023</v>
      </c>
      <c r="Q7">
        <v>2023</v>
      </c>
      <c r="R7" s="1">
        <v>2023</v>
      </c>
      <c r="S7" s="1">
        <v>2023</v>
      </c>
      <c r="U7">
        <v>2022</v>
      </c>
      <c r="W7" s="10">
        <f t="shared" ref="W7:Y7" si="4">P12</f>
        <v>-1.5</v>
      </c>
      <c r="X7" s="10">
        <f t="shared" si="4"/>
        <v>-12.3</v>
      </c>
      <c r="Y7" s="10">
        <f t="shared" si="4"/>
        <v>2.678202479338843</v>
      </c>
    </row>
    <row r="8" spans="2:34" x14ac:dyDescent="0.55000000000000004">
      <c r="B8" t="s">
        <v>45</v>
      </c>
      <c r="C8" s="10">
        <v>-4.4461778471138844E-2</v>
      </c>
      <c r="D8" s="10">
        <v>0.12563593004769474</v>
      </c>
      <c r="E8" s="10">
        <v>0.55929868503443958</v>
      </c>
      <c r="F8" s="10">
        <v>2.0992817238627293</v>
      </c>
      <c r="G8" s="10">
        <v>0.19789695057833859</v>
      </c>
      <c r="H8" s="10">
        <v>1.8639593908629442</v>
      </c>
      <c r="I8" s="10">
        <v>1.2122377622377623</v>
      </c>
      <c r="J8" s="10">
        <v>0.84048582995951415</v>
      </c>
      <c r="K8" s="10">
        <v>1.0837837837837838</v>
      </c>
      <c r="L8" s="10">
        <v>1.5685840707964602</v>
      </c>
      <c r="M8" s="10">
        <v>3.3717391304347828</v>
      </c>
      <c r="N8" s="10">
        <v>1.652247191011236</v>
      </c>
      <c r="O8" s="10">
        <v>7.8722012578616356</v>
      </c>
      <c r="P8" s="10">
        <v>0.3</v>
      </c>
      <c r="Q8" s="10">
        <v>-1.0456738131699848</v>
      </c>
      <c r="R8" s="47">
        <f>D8</f>
        <v>0.12563593004769474</v>
      </c>
      <c r="S8" s="47">
        <v>0.9</v>
      </c>
      <c r="U8">
        <v>2023</v>
      </c>
      <c r="W8" s="10">
        <f t="shared" ref="W8:Y8" si="5">P9</f>
        <v>-17.399999999999999</v>
      </c>
      <c r="X8" s="10">
        <f t="shared" si="5"/>
        <v>-13.2</v>
      </c>
      <c r="Y8" s="10">
        <f t="shared" si="5"/>
        <v>4.5840620031796506</v>
      </c>
    </row>
    <row r="9" spans="2:34" x14ac:dyDescent="0.55000000000000004">
      <c r="B9" t="s">
        <v>19</v>
      </c>
      <c r="C9" s="10">
        <v>2.3870514820592823</v>
      </c>
      <c r="D9" s="10">
        <v>4.5840620031796506</v>
      </c>
      <c r="E9" s="10">
        <v>7.9349405134627427</v>
      </c>
      <c r="F9" s="10">
        <v>11.820111731843575</v>
      </c>
      <c r="G9" s="10">
        <v>-0.7</v>
      </c>
      <c r="H9" s="10">
        <v>5.1180203045685282</v>
      </c>
      <c r="I9" s="10">
        <v>-0.11468531468531469</v>
      </c>
      <c r="J9" s="10">
        <v>4.1708502024291496</v>
      </c>
      <c r="K9" s="10">
        <v>10.237297297297298</v>
      </c>
      <c r="L9" s="10">
        <v>-0.52345132743362832</v>
      </c>
      <c r="M9" s="10">
        <v>1.9570652173913043</v>
      </c>
      <c r="N9" s="10">
        <v>0.69438202247191017</v>
      </c>
      <c r="O9" s="10">
        <v>7.8722012578616356</v>
      </c>
      <c r="P9" s="10">
        <v>-17.399999999999999</v>
      </c>
      <c r="Q9" s="10">
        <v>-13.2</v>
      </c>
      <c r="R9" s="47">
        <f>D9</f>
        <v>4.5840620031796506</v>
      </c>
      <c r="S9" s="47">
        <v>5</v>
      </c>
      <c r="U9">
        <v>2024</v>
      </c>
      <c r="W9" s="10">
        <f t="shared" ref="W9:Y9" si="6">P6</f>
        <v>-23.1</v>
      </c>
      <c r="X9" s="10">
        <f t="shared" si="6"/>
        <v>-17.399999999999999</v>
      </c>
      <c r="Y9" s="10">
        <f t="shared" si="6"/>
        <v>7.4008428150021066</v>
      </c>
    </row>
    <row r="10" spans="2:34" x14ac:dyDescent="0.55000000000000004">
      <c r="C10">
        <v>2022</v>
      </c>
      <c r="D10">
        <v>2022</v>
      </c>
      <c r="E10">
        <v>2022</v>
      </c>
      <c r="F10">
        <v>2022</v>
      </c>
      <c r="G10">
        <v>2022</v>
      </c>
      <c r="H10">
        <v>2022</v>
      </c>
      <c r="I10">
        <v>2022</v>
      </c>
      <c r="J10">
        <v>2022</v>
      </c>
      <c r="K10">
        <v>2022</v>
      </c>
      <c r="L10">
        <v>2022</v>
      </c>
      <c r="M10">
        <v>2022</v>
      </c>
      <c r="N10">
        <v>2022</v>
      </c>
      <c r="O10">
        <v>2022</v>
      </c>
      <c r="P10">
        <v>2022</v>
      </c>
      <c r="Q10">
        <v>2022</v>
      </c>
      <c r="R10" s="1">
        <v>2022</v>
      </c>
      <c r="S10" s="1">
        <v>2022</v>
      </c>
    </row>
    <row r="11" spans="2:34" x14ac:dyDescent="0.55000000000000004">
      <c r="B11" t="s">
        <v>45</v>
      </c>
      <c r="C11" s="10">
        <v>1.2703862660944205</v>
      </c>
      <c r="D11" s="10">
        <v>0.19080578512396695</v>
      </c>
      <c r="E11" s="10">
        <v>0.47409766454352442</v>
      </c>
      <c r="F11" s="10">
        <v>1.7809072444143534</v>
      </c>
      <c r="G11" s="10">
        <v>0.17654784240150093</v>
      </c>
      <c r="H11" s="10">
        <v>1.7383196721311476</v>
      </c>
      <c r="I11" s="10">
        <v>2.0147492625368733</v>
      </c>
      <c r="J11" s="10">
        <v>1.6383141762452107</v>
      </c>
      <c r="K11" s="10">
        <v>1.1499999999999999</v>
      </c>
      <c r="L11" s="10">
        <v>1.4533613445378151</v>
      </c>
      <c r="M11" s="10">
        <v>3.1887179487179487</v>
      </c>
      <c r="N11" s="10">
        <v>1.5478947368421052</v>
      </c>
      <c r="O11" s="10">
        <v>7.4651532349602725</v>
      </c>
      <c r="P11" s="10">
        <v>0.39991150442477874</v>
      </c>
      <c r="Q11" s="10">
        <v>0.2</v>
      </c>
      <c r="R11" s="47">
        <f t="shared" ref="R11:R12" si="7">D11</f>
        <v>0.19080578512396695</v>
      </c>
      <c r="S11" s="47">
        <v>0.9</v>
      </c>
    </row>
    <row r="12" spans="2:34" x14ac:dyDescent="0.55000000000000004">
      <c r="B12" t="s">
        <v>19</v>
      </c>
      <c r="C12" s="10">
        <v>-1.0459227467811159</v>
      </c>
      <c r="D12" s="10">
        <v>2.678202479338843</v>
      </c>
      <c r="E12" s="10">
        <v>6.2169851380042465</v>
      </c>
      <c r="F12" s="10">
        <v>6.9570751523358156</v>
      </c>
      <c r="G12" s="10">
        <v>-1.4027204502814259</v>
      </c>
      <c r="H12" s="10">
        <v>2.3618852459016395</v>
      </c>
      <c r="I12" s="10">
        <v>-3.4067846607669616</v>
      </c>
      <c r="J12" s="10">
        <v>2.2674329501915711</v>
      </c>
      <c r="K12" s="10">
        <v>7.11010101010101</v>
      </c>
      <c r="L12" s="10">
        <v>-4.0743697478991594</v>
      </c>
      <c r="M12" s="10">
        <v>0.75025641025641021</v>
      </c>
      <c r="N12" s="10">
        <v>-1.0489473684210526</v>
      </c>
      <c r="O12" s="10">
        <v>7.4651532349602725</v>
      </c>
      <c r="P12" s="10">
        <v>-1.5</v>
      </c>
      <c r="Q12" s="10">
        <v>-12.3</v>
      </c>
      <c r="R12" s="47">
        <f t="shared" si="7"/>
        <v>2.678202479338843</v>
      </c>
      <c r="S12" s="47">
        <v>2.9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2CA9F-15C5-470A-8BD4-683B04BB707F}">
  <dimension ref="A1:S5"/>
  <sheetViews>
    <sheetView workbookViewId="0"/>
  </sheetViews>
  <sheetFormatPr defaultRowHeight="14.4" x14ac:dyDescent="0.55000000000000004"/>
  <cols>
    <col min="1" max="1" width="28.734375" customWidth="1"/>
  </cols>
  <sheetData>
    <row r="1" spans="1:19" x14ac:dyDescent="0.55000000000000004">
      <c r="B1" s="1"/>
      <c r="C1" s="21"/>
      <c r="D1" s="22"/>
      <c r="E1" s="21"/>
      <c r="F1" s="22"/>
      <c r="G1" s="21"/>
      <c r="H1" s="22"/>
      <c r="I1" s="21"/>
      <c r="J1" s="22"/>
      <c r="K1" s="21"/>
      <c r="L1" s="22"/>
      <c r="M1" s="21"/>
      <c r="N1" s="22"/>
      <c r="O1" s="21"/>
      <c r="P1" s="22"/>
      <c r="Q1" s="21"/>
      <c r="R1" s="22"/>
      <c r="S1" s="21"/>
    </row>
    <row r="2" spans="1:19" x14ac:dyDescent="0.55000000000000004">
      <c r="B2" s="1" t="s">
        <v>41</v>
      </c>
    </row>
    <row r="3" spans="1:19" x14ac:dyDescent="0.55000000000000004">
      <c r="A3" s="1"/>
      <c r="B3" s="1">
        <v>2024</v>
      </c>
      <c r="C3" s="1">
        <v>2023</v>
      </c>
      <c r="D3" s="1">
        <v>2022</v>
      </c>
      <c r="E3" s="1">
        <v>2021</v>
      </c>
      <c r="F3" s="1">
        <v>2020</v>
      </c>
      <c r="G3" s="1">
        <v>2019</v>
      </c>
      <c r="H3" s="1">
        <v>2018</v>
      </c>
      <c r="I3" s="1">
        <v>2017</v>
      </c>
      <c r="J3" s="1">
        <v>2016</v>
      </c>
      <c r="K3" s="1">
        <v>2015</v>
      </c>
      <c r="L3" s="1">
        <v>2014</v>
      </c>
      <c r="M3" s="1">
        <v>2013</v>
      </c>
      <c r="N3" s="1">
        <v>2012</v>
      </c>
      <c r="O3" s="1">
        <v>2011</v>
      </c>
      <c r="P3" s="1">
        <v>2010</v>
      </c>
      <c r="Q3" s="1">
        <v>2009</v>
      </c>
      <c r="R3" s="1">
        <v>2008</v>
      </c>
      <c r="S3" s="1">
        <v>2007</v>
      </c>
    </row>
    <row r="4" spans="1:19" x14ac:dyDescent="0.55000000000000004">
      <c r="A4" t="s">
        <v>42</v>
      </c>
      <c r="B4">
        <v>80729</v>
      </c>
      <c r="C4">
        <v>-3184</v>
      </c>
      <c r="D4">
        <v>-132480</v>
      </c>
      <c r="E4">
        <v>26300</v>
      </c>
      <c r="F4">
        <v>20869</v>
      </c>
      <c r="G4">
        <v>48852</v>
      </c>
      <c r="H4">
        <v>-14934</v>
      </c>
      <c r="I4">
        <v>54372</v>
      </c>
      <c r="J4">
        <v>24476</v>
      </c>
      <c r="K4">
        <v>-23251</v>
      </c>
      <c r="L4">
        <v>38844</v>
      </c>
      <c r="M4">
        <v>-8743</v>
      </c>
      <c r="N4">
        <v>5956</v>
      </c>
      <c r="O4">
        <v>13029</v>
      </c>
      <c r="P4">
        <v>-20807</v>
      </c>
      <c r="Q4">
        <v>9955</v>
      </c>
      <c r="R4">
        <v>-4729</v>
      </c>
      <c r="S4">
        <v>7996</v>
      </c>
    </row>
    <row r="5" spans="1:19" x14ac:dyDescent="0.55000000000000004">
      <c r="A5" t="s">
        <v>43</v>
      </c>
      <c r="B5">
        <v>3000</v>
      </c>
      <c r="C5">
        <v>0</v>
      </c>
      <c r="D5">
        <v>0</v>
      </c>
      <c r="E5">
        <v>6000</v>
      </c>
      <c r="F5">
        <v>6000</v>
      </c>
      <c r="G5">
        <v>4000</v>
      </c>
      <c r="H5">
        <v>2000</v>
      </c>
      <c r="I5">
        <v>2000</v>
      </c>
      <c r="J5">
        <v>1730</v>
      </c>
      <c r="K5">
        <v>1000</v>
      </c>
      <c r="L5">
        <v>2000</v>
      </c>
      <c r="M5">
        <v>0</v>
      </c>
      <c r="N5">
        <v>1000</v>
      </c>
      <c r="O5">
        <v>1000</v>
      </c>
      <c r="P5">
        <v>2500</v>
      </c>
      <c r="Q5">
        <v>2500</v>
      </c>
      <c r="R5">
        <v>2500</v>
      </c>
      <c r="S5">
        <v>2500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</vt:lpstr>
      <vt:lpstr>Charts</vt:lpstr>
      <vt:lpstr>SNB Income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Honohan</dc:creator>
  <cp:lastModifiedBy>Patrick Honohan</cp:lastModifiedBy>
  <dcterms:created xsi:type="dcterms:W3CDTF">2024-05-29T10:18:50Z</dcterms:created>
  <dcterms:modified xsi:type="dcterms:W3CDTF">2025-06-14T15:30:03Z</dcterms:modified>
</cp:coreProperties>
</file>